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ocuments\Servicios Profesionales AGC\PRESUPUESTOS REVISADOS\"/>
    </mc:Choice>
  </mc:AlternateContent>
  <xr:revisionPtr revIDLastSave="0" documentId="13_ncr:1_{4625C76F-82D3-42A0-BC09-37853D0F09B6}" xr6:coauthVersionLast="47" xr6:coauthVersionMax="47" xr10:uidLastSave="{00000000-0000-0000-0000-000000000000}"/>
  <bookViews>
    <workbookView xWindow="-110" yWindow="-110" windowWidth="22780" windowHeight="14660" tabRatio="599" xr2:uid="{00000000-000D-0000-FFFF-FFFF00000000}"/>
  </bookViews>
  <sheets>
    <sheet name="PRESUPUESTO PARA 16 QQ 3 AÑOS" sheetId="3" r:id="rId1"/>
    <sheet name="PARA UNA CUERDA" sheetId="5" r:id="rId2"/>
    <sheet name="ANALISIS DE PRECIOS" sheetId="6" r:id="rId3"/>
  </sheets>
  <definedNames>
    <definedName name="_xlnm.Print_Area" localSheetId="2">'ANALISIS DE PRECIOS'!$A$1:$H$108</definedName>
    <definedName name="_xlnm.Print_Area" localSheetId="1">'PARA UNA CUERDA'!$A$1:$G$105</definedName>
    <definedName name="_xlnm.Print_Area" localSheetId="0">'PRESUPUESTO PARA 16 QQ 3 AÑOS'!$A$1:$K$119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5" l="1"/>
  <c r="G48" i="5"/>
  <c r="F48" i="5"/>
  <c r="J56" i="3" l="1"/>
  <c r="K56" i="3" s="1"/>
  <c r="J54" i="3" l="1"/>
  <c r="K54" i="3" s="1"/>
  <c r="E35" i="3"/>
  <c r="D30" i="3"/>
  <c r="E30" i="3" s="1"/>
  <c r="G64" i="3"/>
  <c r="E64" i="3"/>
  <c r="C17" i="6" l="1"/>
  <c r="D17" i="6" s="1"/>
  <c r="F17" i="6"/>
  <c r="G17" i="6" s="1"/>
  <c r="C33" i="6"/>
  <c r="D33" i="6" s="1"/>
  <c r="F33" i="6"/>
  <c r="G33" i="6" s="1"/>
  <c r="C48" i="6"/>
  <c r="D48" i="6" s="1"/>
  <c r="F48" i="6"/>
  <c r="G48" i="6" s="1"/>
  <c r="C63" i="6"/>
  <c r="D63" i="6" s="1"/>
  <c r="F63" i="6"/>
  <c r="G63" i="6" s="1"/>
  <c r="E15" i="5"/>
  <c r="F15" i="5" s="1"/>
  <c r="E16" i="5"/>
  <c r="F16" i="5" s="1"/>
  <c r="E17" i="5"/>
  <c r="G17" i="5" s="1"/>
  <c r="E18" i="5"/>
  <c r="F18" i="5" s="1"/>
  <c r="E19" i="5"/>
  <c r="F19" i="5" s="1"/>
  <c r="E20" i="5"/>
  <c r="F20" i="5" s="1"/>
  <c r="E21" i="5"/>
  <c r="G21" i="5" s="1"/>
  <c r="E22" i="5"/>
  <c r="E26" i="5"/>
  <c r="G26" i="5" s="1"/>
  <c r="E27" i="5"/>
  <c r="F27" i="5" s="1"/>
  <c r="C32" i="5"/>
  <c r="E32" i="5" s="1"/>
  <c r="E33" i="5"/>
  <c r="G33" i="5" s="1"/>
  <c r="E34" i="5"/>
  <c r="F34" i="5" s="1"/>
  <c r="E35" i="5"/>
  <c r="G35" i="5" s="1"/>
  <c r="E36" i="5"/>
  <c r="F36" i="5" s="1"/>
  <c r="C37" i="5"/>
  <c r="E37" i="5" s="1"/>
  <c r="F37" i="5" s="1"/>
  <c r="E38" i="5"/>
  <c r="G38" i="5" s="1"/>
  <c r="E42" i="5"/>
  <c r="G42" i="5" s="1"/>
  <c r="E43" i="5"/>
  <c r="F43" i="5" s="1"/>
  <c r="F44" i="5"/>
  <c r="G44" i="5"/>
  <c r="H48" i="6" l="1"/>
  <c r="H57" i="6" s="1"/>
  <c r="H17" i="6"/>
  <c r="H25" i="6" s="1"/>
  <c r="H33" i="6"/>
  <c r="H42" i="6" s="1"/>
  <c r="F22" i="5"/>
  <c r="G22" i="5"/>
  <c r="F33" i="5"/>
  <c r="F42" i="5"/>
  <c r="G18" i="5"/>
  <c r="F35" i="5"/>
  <c r="E28" i="5"/>
  <c r="E29" i="5" s="1"/>
  <c r="G32" i="5"/>
  <c r="F32" i="5"/>
  <c r="G19" i="5"/>
  <c r="G15" i="5"/>
  <c r="G43" i="5"/>
  <c r="F38" i="5"/>
  <c r="F26" i="5"/>
  <c r="F21" i="5"/>
  <c r="E39" i="5"/>
  <c r="F39" i="5" s="1"/>
  <c r="G37" i="5"/>
  <c r="G36" i="5"/>
  <c r="F17" i="5"/>
  <c r="H63" i="6"/>
  <c r="F28" i="5"/>
  <c r="G28" i="5" s="1"/>
  <c r="G34" i="5"/>
  <c r="G27" i="5"/>
  <c r="E23" i="5"/>
  <c r="G20" i="5"/>
  <c r="G16" i="5"/>
  <c r="I64" i="3"/>
  <c r="G65" i="3"/>
  <c r="G63" i="3" s="1"/>
  <c r="F30" i="3"/>
  <c r="G30" i="3" s="1"/>
  <c r="I35" i="3"/>
  <c r="G35" i="3"/>
  <c r="H27" i="6" l="1"/>
  <c r="H40" i="6"/>
  <c r="H55" i="6"/>
  <c r="E45" i="5"/>
  <c r="E47" i="5"/>
  <c r="F47" i="5"/>
  <c r="G39" i="5"/>
  <c r="H70" i="6"/>
  <c r="H72" i="6"/>
  <c r="F29" i="5"/>
  <c r="G29" i="5"/>
  <c r="G23" i="5"/>
  <c r="F23" i="5"/>
  <c r="J35" i="3"/>
  <c r="K35" i="3" s="1"/>
  <c r="I65" i="3"/>
  <c r="I63" i="3" s="1"/>
  <c r="E65" i="3"/>
  <c r="E63" i="3" s="1"/>
  <c r="F45" i="5" l="1"/>
  <c r="G45" i="5"/>
  <c r="G47" i="5"/>
  <c r="E49" i="5"/>
  <c r="J64" i="3"/>
  <c r="K64" i="3" s="1"/>
  <c r="J65" i="3"/>
  <c r="K65" i="3" s="1"/>
  <c r="J63" i="3" l="1"/>
  <c r="K63" i="3" s="1"/>
  <c r="F49" i="5"/>
  <c r="G49" i="5"/>
  <c r="E50" i="5"/>
  <c r="I34" i="3"/>
  <c r="I36" i="3" s="1"/>
  <c r="G34" i="3"/>
  <c r="G36" i="3" s="1"/>
  <c r="E34" i="3"/>
  <c r="I24" i="3"/>
  <c r="I21" i="3"/>
  <c r="I20" i="3"/>
  <c r="I19" i="3"/>
  <c r="I18" i="3"/>
  <c r="I17" i="3"/>
  <c r="G28" i="3"/>
  <c r="G27" i="3"/>
  <c r="G26" i="3"/>
  <c r="G25" i="3"/>
  <c r="G24" i="3"/>
  <c r="G22" i="3"/>
  <c r="G21" i="3"/>
  <c r="G20" i="3"/>
  <c r="G19" i="3"/>
  <c r="G18" i="3"/>
  <c r="G17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I16" i="3"/>
  <c r="G16" i="3"/>
  <c r="E16" i="3"/>
  <c r="I52" i="3"/>
  <c r="G52" i="3"/>
  <c r="E53" i="3"/>
  <c r="E52" i="3"/>
  <c r="G50" i="5" l="1"/>
  <c r="F50" i="5"/>
  <c r="J34" i="3"/>
  <c r="K34" i="3" s="1"/>
  <c r="J36" i="3"/>
  <c r="K36" i="3" s="1"/>
  <c r="J16" i="3"/>
  <c r="K16" i="3" s="1"/>
  <c r="J21" i="3"/>
  <c r="K21" i="3" s="1"/>
  <c r="J20" i="3"/>
  <c r="K20" i="3" s="1"/>
  <c r="J19" i="3"/>
  <c r="K19" i="3" s="1"/>
  <c r="J18" i="3"/>
  <c r="K18" i="3" s="1"/>
  <c r="J24" i="3"/>
  <c r="K24" i="3" s="1"/>
  <c r="J17" i="3"/>
  <c r="K17" i="3" s="1"/>
  <c r="J52" i="3"/>
  <c r="K52" i="3" s="1"/>
  <c r="I43" i="3"/>
  <c r="I41" i="3"/>
  <c r="G43" i="3"/>
  <c r="G41" i="3"/>
  <c r="E48" i="3"/>
  <c r="E47" i="3"/>
  <c r="E46" i="3"/>
  <c r="E45" i="3"/>
  <c r="E44" i="3"/>
  <c r="E43" i="3"/>
  <c r="E42" i="3"/>
  <c r="E41" i="3"/>
  <c r="E40" i="3"/>
  <c r="E31" i="3"/>
  <c r="E55" i="3" l="1"/>
  <c r="J41" i="3"/>
  <c r="K41" i="3" s="1"/>
  <c r="E49" i="3"/>
  <c r="E57" i="3" s="1"/>
  <c r="J43" i="3"/>
  <c r="K43" i="3" s="1"/>
  <c r="F53" i="3"/>
  <c r="E58" i="3" l="1"/>
  <c r="E60" i="3" s="1"/>
  <c r="I53" i="3"/>
  <c r="G53" i="3"/>
  <c r="E61" i="3" l="1"/>
  <c r="E66" i="3"/>
  <c r="J53" i="3"/>
  <c r="K53" i="3" s="1"/>
  <c r="G47" i="3" l="1"/>
  <c r="G37" i="3" l="1"/>
  <c r="I37" i="3"/>
  <c r="I47" i="3"/>
  <c r="J47" i="3" s="1"/>
  <c r="K47" i="3" s="1"/>
  <c r="J37" i="3" l="1"/>
  <c r="K37" i="3" s="1"/>
  <c r="G23" i="3"/>
  <c r="G29" i="3" l="1"/>
  <c r="G31" i="3" s="1"/>
  <c r="I22" i="3"/>
  <c r="J22" i="3" s="1"/>
  <c r="K22" i="3" s="1"/>
  <c r="I27" i="3"/>
  <c r="J27" i="3" s="1"/>
  <c r="K27" i="3" s="1"/>
  <c r="I29" i="3"/>
  <c r="H23" i="3"/>
  <c r="I26" i="3"/>
  <c r="J26" i="3" s="1"/>
  <c r="K26" i="3" s="1"/>
  <c r="I28" i="3"/>
  <c r="J28" i="3" s="1"/>
  <c r="K28" i="3" s="1"/>
  <c r="I25" i="3"/>
  <c r="J25" i="3" s="1"/>
  <c r="K25" i="3" s="1"/>
  <c r="G42" i="3"/>
  <c r="G55" i="3" l="1"/>
  <c r="I23" i="3"/>
  <c r="J23" i="3" s="1"/>
  <c r="K23" i="3" s="1"/>
  <c r="H30" i="3"/>
  <c r="I30" i="3" s="1"/>
  <c r="J30" i="3" s="1"/>
  <c r="H31" i="3"/>
  <c r="J29" i="3"/>
  <c r="K29" i="3" s="1"/>
  <c r="I42" i="3"/>
  <c r="G44" i="3"/>
  <c r="G48" i="3"/>
  <c r="G46" i="3"/>
  <c r="G45" i="3"/>
  <c r="G49" i="3" l="1"/>
  <c r="I31" i="3"/>
  <c r="K30" i="3"/>
  <c r="J42" i="3"/>
  <c r="K42" i="3" s="1"/>
  <c r="I46" i="3"/>
  <c r="J46" i="3" s="1"/>
  <c r="K46" i="3" s="1"/>
  <c r="I48" i="3"/>
  <c r="J48" i="3" s="1"/>
  <c r="K48" i="3" s="1"/>
  <c r="I45" i="3"/>
  <c r="J45" i="3" s="1"/>
  <c r="K45" i="3" s="1"/>
  <c r="I44" i="3"/>
  <c r="J44" i="3" s="1"/>
  <c r="K44" i="3" s="1"/>
  <c r="I55" i="3" l="1"/>
  <c r="J55" i="3" s="1"/>
  <c r="K55" i="3" s="1"/>
  <c r="G57" i="3"/>
  <c r="J31" i="3"/>
  <c r="K31" i="3" s="1"/>
  <c r="I49" i="3"/>
  <c r="J49" i="3" s="1"/>
  <c r="K49" i="3" s="1"/>
  <c r="G58" i="3" l="1"/>
  <c r="G60" i="3" s="1"/>
  <c r="G66" i="3" s="1"/>
  <c r="I57" i="3"/>
  <c r="J57" i="3" s="1"/>
  <c r="K57" i="3" s="1"/>
  <c r="G61" i="3" l="1"/>
  <c r="I58" i="3"/>
  <c r="I60" i="3" s="1"/>
  <c r="J60" i="3" l="1"/>
  <c r="I66" i="3"/>
  <c r="J58" i="3"/>
  <c r="K58" i="3" s="1"/>
  <c r="I61" i="3"/>
  <c r="J61" i="3" l="1"/>
  <c r="K61" i="3" s="1"/>
  <c r="J66" i="3"/>
  <c r="K66" i="3" s="1"/>
  <c r="K60" i="3"/>
</calcChain>
</file>

<file path=xl/sharedStrings.xml><?xml version="1.0" encoding="utf-8"?>
<sst xmlns="http://schemas.openxmlformats.org/spreadsheetml/2006/main" count="385" uniqueCount="157">
  <si>
    <t>UNIDAD</t>
  </si>
  <si>
    <t>CANTIDAD</t>
  </si>
  <si>
    <t>RENGLÓN</t>
  </si>
  <si>
    <t>MANO DE OBRA</t>
  </si>
  <si>
    <t>Abonamiento</t>
  </si>
  <si>
    <t>Aplicación Insecticida</t>
  </si>
  <si>
    <t>Aplicación de Fungicida</t>
  </si>
  <si>
    <t>Abono</t>
  </si>
  <si>
    <t>Fungicida</t>
  </si>
  <si>
    <t>Herbicida</t>
  </si>
  <si>
    <t>Trampas/Alcohol</t>
  </si>
  <si>
    <t>horas</t>
  </si>
  <si>
    <t>quintal</t>
  </si>
  <si>
    <t>onzas</t>
  </si>
  <si>
    <t>libras</t>
  </si>
  <si>
    <t>galón</t>
  </si>
  <si>
    <t>Micotrol</t>
  </si>
  <si>
    <t>OTROS COSTOS</t>
  </si>
  <si>
    <t>tonelada</t>
  </si>
  <si>
    <t xml:space="preserve"> </t>
  </si>
  <si>
    <t>almud</t>
  </si>
  <si>
    <t>ARBUSTO</t>
  </si>
  <si>
    <t>$ COSTO/</t>
  </si>
  <si>
    <t>$ COSTO</t>
  </si>
  <si>
    <t>qqs./crd.</t>
  </si>
  <si>
    <t>crd.</t>
  </si>
  <si>
    <t>Total Otros Costos</t>
  </si>
  <si>
    <t>CUERDA</t>
  </si>
  <si>
    <t>Año 1</t>
  </si>
  <si>
    <t>Año 2</t>
  </si>
  <si>
    <t>Año 3</t>
  </si>
  <si>
    <t xml:space="preserve">Año 1 al 3 </t>
  </si>
  <si>
    <t>Desyerbo</t>
  </si>
  <si>
    <t>Resiembra</t>
  </si>
  <si>
    <t>Aplicar Superfosfato Triple</t>
  </si>
  <si>
    <t xml:space="preserve">Superfosfato Triple </t>
  </si>
  <si>
    <t>unidad</t>
  </si>
  <si>
    <t>Total</t>
  </si>
  <si>
    <t>0</t>
  </si>
  <si>
    <t>Total Costos de Materiales</t>
  </si>
  <si>
    <t>COSTOS TOTALES</t>
  </si>
  <si>
    <t>Alineado de Siembra (o siembras a contorno)</t>
  </si>
  <si>
    <t>Cargar Arbolito para Siembra en Predio</t>
  </si>
  <si>
    <t xml:space="preserve">Ahoyado y Siembra </t>
  </si>
  <si>
    <t xml:space="preserve">Aplicación de Herbicida </t>
  </si>
  <si>
    <t>Preparación de Terreno (incluye construir o reparar caminos)</t>
  </si>
  <si>
    <t>COSTOS TOTALES EXCLUYENDO COSECHA</t>
  </si>
  <si>
    <t xml:space="preserve">INGRESO TOTAL COSECHA </t>
  </si>
  <si>
    <t xml:space="preserve">  </t>
  </si>
  <si>
    <t>Insecticida (dos aplicaciones)</t>
  </si>
  <si>
    <t>Cal  ( aplicar 2 toneladas primer año de ser necesario)</t>
  </si>
  <si>
    <t>Control Broca 2do y 3er año (manejo trampas 8hr aplicar Mycotrol 5 hr)</t>
  </si>
  <si>
    <t>COSECHA (22 almudes de 28 lb =616 lb= 1 qq(100 lb base pilado)</t>
  </si>
  <si>
    <t xml:space="preserve">Maduro  (2do. año 3.5 qq, 3ro. 7 qq)  1almud/hr  = $7.25/hr </t>
  </si>
  <si>
    <t>Verde y Maduro(2do. año 1 qq, 3ro. 3 qq)  1.25 almud/hr = $5.40/hr</t>
  </si>
  <si>
    <t>Seguro de Cosecha ( valor $225/qq, covertura 75%  vigente en 2019 )</t>
  </si>
  <si>
    <t>-</t>
  </si>
  <si>
    <t>Mantenimiento de caminos y equipo para control plagas y enfermedades)</t>
  </si>
  <si>
    <t>COSTO NETO (Costo Total-Ingreso Total)</t>
  </si>
  <si>
    <t>TOTAL COSTOS:</t>
  </si>
  <si>
    <t>Seguro de Plantación ( valor máximo $4,000/cuerda con 75% covertura, vigente en 2019)</t>
  </si>
  <si>
    <t xml:space="preserve"> Total Costos de Materiales</t>
  </si>
  <si>
    <t xml:space="preserve">Insecticida </t>
  </si>
  <si>
    <t>Verde y Maduro (30% de 16qq)=4.8 qq= 105.6 almudes @ 1.25 almudes/hr= $5.40/hr</t>
  </si>
  <si>
    <t>Maduro (70% de 16qq)= 11.2 qq= 246.4 almudes @ 1 almud/hr=$7.25/hr</t>
  </si>
  <si>
    <t>COSECHA (22 almudes de 28 lb =616 lb.= 1 qq(100 lb base pilado)</t>
  </si>
  <si>
    <t>Total Costos Mano de Obra Cultivo y Proteccion Cultivos</t>
  </si>
  <si>
    <t>Arreglo de Caminos y Otros</t>
  </si>
  <si>
    <t>Control Broca (manejo trampas 8 hr aplicar Mycotrol 5 hr)</t>
  </si>
  <si>
    <t>Aplicación de Herbicida (desyerbo manual 28 hr)</t>
  </si>
  <si>
    <t>Encalado( cada 2 años 8 hr. se adjudica 4hr/año)</t>
  </si>
  <si>
    <t>16QQ/cuerda</t>
  </si>
  <si>
    <t>QQ/PILADO</t>
  </si>
  <si>
    <t>TOTAL</t>
  </si>
  <si>
    <t>RAZON  INGRESO/COSTO</t>
  </si>
  <si>
    <t>INGRESO NETO</t>
  </si>
  <si>
    <t>30% Segunda Verde-Maduro</t>
  </si>
  <si>
    <t>70% Primera Maduro</t>
  </si>
  <si>
    <t>Produccion 16 quintales (qq)</t>
  </si>
  <si>
    <t>COSTO TOTAL/CUERDA</t>
  </si>
  <si>
    <t xml:space="preserve">PRECIO DE VENTA </t>
  </si>
  <si>
    <t>ESCENARIO D</t>
  </si>
  <si>
    <t>MADURO = 4.8 qq</t>
  </si>
  <si>
    <t>30% VERDE y</t>
  </si>
  <si>
    <t xml:space="preserve">MADURO </t>
  </si>
  <si>
    <t>MADURO</t>
  </si>
  <si>
    <t>70% MADURO= 11.2 qq</t>
  </si>
  <si>
    <t>4.8 qq VERDE</t>
  </si>
  <si>
    <t>VERDE</t>
  </si>
  <si>
    <t>11.2 qq MADURO</t>
  </si>
  <si>
    <t xml:space="preserve">$ INGRESO/CUERDA </t>
  </si>
  <si>
    <t xml:space="preserve">$ INGRESO </t>
  </si>
  <si>
    <t>$ QUITAL</t>
  </si>
  <si>
    <t>$ ALMUD</t>
  </si>
  <si>
    <t>$ QUINTAL</t>
  </si>
  <si>
    <t>ESCENARIO C</t>
  </si>
  <si>
    <t>ESCENARIO B</t>
  </si>
  <si>
    <t>RENGULADO POR DACO 2015</t>
  </si>
  <si>
    <t>PRECIO DE VENTA  MINIMO</t>
  </si>
  <si>
    <t>ESCENARIO A</t>
  </si>
  <si>
    <t>30% VERDE y  MADURO=4.8 qq</t>
  </si>
  <si>
    <t>PRECIO DE VENTA E INGRESO DE CAFÉ  16 QQ/CUERDA (22 ALMUDES = 1 QUINTAL BASE PILADO)</t>
  </si>
  <si>
    <t>ESCENARIOS</t>
  </si>
  <si>
    <t>UNIVERSIDAD DE PUERTO RICO</t>
  </si>
  <si>
    <t>RECINTO UNIVERSITARIO DE MAYAGUEZ</t>
  </si>
  <si>
    <t>COLEGIO DE CIENCIAS AGRICOLAS</t>
  </si>
  <si>
    <t>Puede editar los espacios de las celdas color gris</t>
  </si>
  <si>
    <r>
      <t>Beneficios Marginales (20% *$7.25 costo/hr)</t>
    </r>
    <r>
      <rPr>
        <vertAlign val="superscript"/>
        <sz val="12"/>
        <color rgb="FF000000"/>
        <rFont val="Times New Roman"/>
        <family val="1"/>
      </rPr>
      <t>2</t>
    </r>
  </si>
  <si>
    <r>
      <t>Beneficios Marginales Cosecha (Costo Cosecha *16%)</t>
    </r>
    <r>
      <rPr>
        <vertAlign val="superscript"/>
        <sz val="12"/>
        <color rgb="FF000000"/>
        <rFont val="Times New Roman"/>
        <family val="1"/>
      </rPr>
      <t>3</t>
    </r>
  </si>
  <si>
    <t>Reparación y mantenimiento de  caminos</t>
  </si>
  <si>
    <r>
      <t>MATERIALES</t>
    </r>
    <r>
      <rPr>
        <b/>
        <vertAlign val="superscript"/>
        <sz val="12"/>
        <color rgb="FF000000"/>
        <rFont val="Times New Roman"/>
        <family val="1"/>
      </rPr>
      <t>4</t>
    </r>
  </si>
  <si>
    <r>
      <t>Miscelaneos</t>
    </r>
    <r>
      <rPr>
        <vertAlign val="superscript"/>
        <sz val="12"/>
        <color rgb="FF000000"/>
        <rFont val="Times New Roman"/>
        <family val="1"/>
      </rPr>
      <t>5</t>
    </r>
  </si>
  <si>
    <r>
      <t>Gastos Administrativos</t>
    </r>
    <r>
      <rPr>
        <vertAlign val="superscript"/>
        <sz val="12"/>
        <color rgb="FF000000"/>
        <rFont val="Times New Roman"/>
        <family val="1"/>
      </rPr>
      <t>6</t>
    </r>
  </si>
  <si>
    <r>
      <t xml:space="preserve"> </t>
    </r>
    <r>
      <rPr>
        <sz val="12"/>
        <color theme="1"/>
        <rFont val="Times New Roman"/>
        <family val="1"/>
      </rPr>
      <t xml:space="preserve"> Café Maduro a $18.85/almud=$414.7/qq</t>
    </r>
    <r>
      <rPr>
        <b/>
        <vertAlign val="superscript"/>
        <sz val="12"/>
        <color theme="1"/>
        <rFont val="Times New Roman"/>
        <family val="1"/>
      </rPr>
      <t>8</t>
    </r>
  </si>
  <si>
    <r>
      <t xml:space="preserve"> </t>
    </r>
    <r>
      <rPr>
        <i/>
        <sz val="12"/>
        <color rgb="FF000000"/>
        <rFont val="Times New Roman"/>
        <family val="1"/>
      </rPr>
      <t>Café Verde y Maduro a $10.25/almud =$231/qq.</t>
    </r>
    <r>
      <rPr>
        <b/>
        <i/>
        <vertAlign val="superscript"/>
        <sz val="12"/>
        <color rgb="FF000000"/>
        <rFont val="Times New Roman"/>
        <family val="1"/>
      </rPr>
      <t>8</t>
    </r>
  </si>
  <si>
    <r>
      <t xml:space="preserve"> Total Costos de Cosecha</t>
    </r>
    <r>
      <rPr>
        <b/>
        <vertAlign val="superscript"/>
        <sz val="12"/>
        <color rgb="FF000000"/>
        <rFont val="Times New Roman"/>
        <family val="1"/>
      </rPr>
      <t>4</t>
    </r>
  </si>
  <si>
    <t>Supuestos:</t>
  </si>
  <si>
    <t>1.       El presupuesto modelo presentado para una cuerda en producción se refiere a una cuerda adulta en producción comercial, esto es de 4 a 8 años luego del establecimiento, cuando se recomienda la práctica de poda de renovación de ser necesaria y años subsiguientes hasta que haya una reducción en la producción y la plantación sea podada nuevamente.</t>
  </si>
  <si>
    <t>2.       Incluye pago del Seguro Social al Internal Revenue Service, Seguro por Desempleo al Departamento del Trabajo y Recursos Humanos y Seguro Obrero a la Corporación del Fondo del Seguro del Estado.</t>
  </si>
  <si>
    <t>3.       Cuando se paga el salario mínimo estatal agrícola de $5.25/hora, la cosecha se paga por ajuste, y no aplican los beneficios marginales, sin embargo, si se paga el salario mínimo federal de $7.25/hora, también se incluye el costo de beneficios marginales en el costo de la cosecha.</t>
  </si>
  <si>
    <t>4.       El costo de cosecha cuando se paga por ajuste se estimó usando un valor medio de $6.00/hora por almud de 28 libras de café maduro y $5.00/hora por un almud de verde y maduro. Cuando se paga el salario mínimo federal se asumió que un recogedor de café cosecha en promedio 1 almud de café maduro y 1.25 almudes de verde y maduro por hora. El costo de cosechar el almud se estimó basándose en un salario de $7.25/hora; el resultado de cosechar un almud de café maduro fue de $7.25, y de un almud de verde y maduro, $5.40.</t>
  </si>
  <si>
    <t>5.       Los costos de materiales se estiman basado en las recomendaciones del Conjunto Tecnológico del Cultivo para 1,500 cafetos, y los precios son los vigentes en el mercado al momento de redactar este escrito. En el mercado pueden existir diferentes tipos y marcas de materiales que se usan para fertilizar y controlar plagas, enfermedades y malezas; ajuste las cantidades y precio de acuerdo con el material que use en la finca.</t>
  </si>
  <si>
    <t xml:space="preserve">6.       Se incluyeron en otros costos misceláneos: 1) la transportación de arbolitos para la siembra y de trabajadores 2) gastos de electricidad, y 3) mantenimiento de caminos y de equipos para el control de plagas y enfermedades. </t>
  </si>
  <si>
    <t>7.       10% del gasto de mano de obra y maquinaria</t>
  </si>
  <si>
    <t>8. Los precios de venta del quintal base pilado y del almud maduro y verde maduro usados para estimar el ingreso bruto de los presupuestos modelo provienen del análisis de diferentes escenarios de precios (ver tabla “Análisis de precios” de este documento); se usaron los precios en los cuales la cantidad recibida por ingreso bruto es similar al costo total (break even). Esto es, la razón beneficio/costo es igual a 1 (($ Ingreso Bruto/$ Costos Totales) =1).</t>
  </si>
  <si>
    <t>Preparado por:</t>
  </si>
  <si>
    <t>Alexandra Gregory Crespo, PhD</t>
  </si>
  <si>
    <t>Catedrática del Servicio de Extensión Agrícola en Economía Agrícola</t>
  </si>
  <si>
    <t xml:space="preserve">AVISO: Los Presupuestos Modelos presentan la información de los ingresos y gastos bajo condiciones normales y características particulares de una finca.  La Universidad de Puerto Rico no asume responsabilidad por los resultados si los ingresos y gastos de una empresa en particular difieren de dicha publicación. El usuario de estos modelos releva a la Universidad de Puerto Rico de toda responsabilidad, reclamación, pérdida, daño o costo relacionado o surgido por el uso de estos modelos. </t>
  </si>
  <si>
    <t>This material is based upon work supported by USDA/OPPE under Award Number: AO212501x443G010</t>
  </si>
  <si>
    <t>Marzo 2022</t>
  </si>
  <si>
    <r>
      <t>(1 cuerda) (3 años</t>
    </r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>)</t>
    </r>
  </si>
  <si>
    <t>Encalado ( aplicar 2 toneladas primer año de ser necesario)</t>
  </si>
  <si>
    <t xml:space="preserve">Total Costos Mano de Obra Cultivo y Protección Cultivo </t>
  </si>
  <si>
    <t>Arbolitos ( incluye siembra y 10% para resiembra, precio fluctúa de $0.5 a $1.0)</t>
  </si>
  <si>
    <t>Seguro de Cosecha ( valor $225/qq, cobertura 75%  vigente en 2019 )</t>
  </si>
  <si>
    <t>Seguro de Plantación (valor $15,750/cd 75% cobertura, vigente en 2019)</t>
  </si>
  <si>
    <r>
      <t>Interés de Gastos Operacionales (9%)</t>
    </r>
    <r>
      <rPr>
        <vertAlign val="superscript"/>
        <sz val="12"/>
        <color rgb="FF000000"/>
        <rFont val="Times New Roman"/>
        <family val="1"/>
      </rPr>
      <t>7</t>
    </r>
  </si>
  <si>
    <t>Carmen Álamo, PhD</t>
  </si>
  <si>
    <t>Catedrática de la Estación Experimental Agrícola en Economía Agrícola</t>
  </si>
  <si>
    <t>Versión Electrónica:</t>
  </si>
  <si>
    <t>Fecha de revisión</t>
  </si>
  <si>
    <t>Presupuesto modelo del costo neto de establecer una cuerda de café variedad arábica de 1,500 cafetos</t>
  </si>
  <si>
    <t>(Producción de 16 quintales; 70% café maduro y 30% café verde maduro)</t>
  </si>
  <si>
    <t>Presupuesto modelo del costo anual de establecer una cuerda de café variedad arábica de 1,500 cafetos</t>
  </si>
  <si>
    <t>Cal (cada 2 años 2 toneladas, se adjudica 1 ton/año)</t>
  </si>
  <si>
    <r>
      <t>Obligaciones Patronales (20% *$7.25 costo/hr)</t>
    </r>
    <r>
      <rPr>
        <vertAlign val="superscript"/>
        <sz val="11"/>
        <color rgb="FF000000"/>
        <rFont val="Times New Roman"/>
        <family val="1"/>
      </rPr>
      <t>2</t>
    </r>
  </si>
  <si>
    <r>
      <t>Beneficios Marginales Cosecha (Costos Cosecha *16%)</t>
    </r>
    <r>
      <rPr>
        <vertAlign val="superscript"/>
        <sz val="11"/>
        <color rgb="FF000000"/>
        <rFont val="Times New Roman"/>
        <family val="1"/>
      </rPr>
      <t>3</t>
    </r>
  </si>
  <si>
    <r>
      <t xml:space="preserve"> Total Costos de Cosecha</t>
    </r>
    <r>
      <rPr>
        <b/>
        <vertAlign val="superscript"/>
        <sz val="11"/>
        <color rgb="FF000000"/>
        <rFont val="Times New Roman"/>
        <family val="1"/>
      </rPr>
      <t>4</t>
    </r>
  </si>
  <si>
    <r>
      <t>MATERIALES</t>
    </r>
    <r>
      <rPr>
        <b/>
        <vertAlign val="superscript"/>
        <sz val="11"/>
        <color rgb="FF000000"/>
        <rFont val="Times New Roman"/>
        <family val="1"/>
      </rPr>
      <t>5</t>
    </r>
  </si>
  <si>
    <r>
      <t>Miscelaneos</t>
    </r>
    <r>
      <rPr>
        <vertAlign val="superscript"/>
        <sz val="11"/>
        <color rgb="FF000000"/>
        <rFont val="Times New Roman"/>
        <family val="1"/>
      </rPr>
      <t>6</t>
    </r>
  </si>
  <si>
    <r>
      <t>Gastos Administrativos</t>
    </r>
    <r>
      <rPr>
        <vertAlign val="superscript"/>
        <sz val="11"/>
        <color rgb="FF000000"/>
        <rFont val="Times New Roman"/>
        <family val="1"/>
      </rPr>
      <t>7</t>
    </r>
  </si>
  <si>
    <r>
      <t>Inteses de Gastos Operacionales (9%)</t>
    </r>
    <r>
      <rPr>
        <vertAlign val="superscript"/>
        <sz val="11"/>
        <color rgb="FF000000"/>
        <rFont val="Times New Roman"/>
        <family val="1"/>
      </rPr>
      <t>8</t>
    </r>
  </si>
  <si>
    <r>
      <t>Depreciación Plantación</t>
    </r>
    <r>
      <rPr>
        <vertAlign val="superscript"/>
        <sz val="11"/>
        <color rgb="FF000000"/>
        <rFont val="Times New Roman"/>
        <family val="1"/>
      </rPr>
      <t>9</t>
    </r>
  </si>
  <si>
    <t>9. Se estimó el costo de depreciación anual asumiendo 20 años de vida útil de la plantación, se excluyen los primeros 3 años de establecimiento y dos años de poda.</t>
  </si>
  <si>
    <t>Diferentes escenarios de precio de venta, usando el presupuesto modelo para el analisis costo beneficio anual de la produccion de una cuerda de café variedad arábica de 1,500 cafetos</t>
  </si>
  <si>
    <t>(1 cuerda)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</si>
</sst>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"/>
    <numFmt numFmtId="165" formatCode="_([$$-409]* #,##0.00_);_([$$-409]* \(#,##0.00\);_([$$-409]* &quot;-&quot;??_);_(@_)"/>
  </numFmts>
  <fonts count="30" x14ac:knownFonts="1">
    <font>
      <sz val="11"/>
      <color theme="1"/>
      <name val="Calibri"/>
      <family val="2"/>
      <scheme val="minor"/>
    </font>
    <font>
      <b/>
      <i/>
      <sz val="11"/>
      <color indexed="8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8"/>
      <name val="Cambria"/>
      <family val="1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12"/>
      <color rgb="FF000000"/>
      <name val="Times New Roman"/>
      <family val="1"/>
    </font>
    <font>
      <b/>
      <vertAlign val="superscript"/>
      <sz val="12"/>
      <color rgb="FF000000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i/>
      <vertAlign val="superscript"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vertAlign val="superscript"/>
      <sz val="11"/>
      <color rgb="FF000000"/>
      <name val="Times New Roman"/>
      <family val="1"/>
    </font>
    <font>
      <b/>
      <vertAlign val="superscript"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0" fillId="0" borderId="0"/>
  </cellStyleXfs>
  <cellXfs count="297">
    <xf numFmtId="0" fontId="0" fillId="0" borderId="0" xfId="0"/>
    <xf numFmtId="0" fontId="0" fillId="0" borderId="0" xfId="0" applyFont="1"/>
    <xf numFmtId="0" fontId="3" fillId="0" borderId="0" xfId="0" applyFont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Font="1" applyBorder="1"/>
    <xf numFmtId="0" fontId="6" fillId="0" borderId="4" xfId="0" quotePrefix="1" applyFont="1" applyBorder="1" applyAlignment="1">
      <alignment horizontal="center"/>
    </xf>
    <xf numFmtId="44" fontId="6" fillId="0" borderId="1" xfId="0" quotePrefix="1" applyNumberFormat="1" applyFont="1" applyBorder="1" applyAlignment="1">
      <alignment horizontal="center"/>
    </xf>
    <xf numFmtId="2" fontId="6" fillId="0" borderId="1" xfId="0" quotePrefix="1" applyNumberFormat="1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0" fontId="5" fillId="0" borderId="1" xfId="0" applyFont="1" applyBorder="1"/>
    <xf numFmtId="44" fontId="6" fillId="0" borderId="1" xfId="1" applyFont="1" applyFill="1" applyBorder="1" applyAlignment="1">
      <alignment horizontal="left"/>
    </xf>
    <xf numFmtId="44" fontId="5" fillId="0" borderId="1" xfId="0" applyNumberFormat="1" applyFont="1" applyBorder="1"/>
    <xf numFmtId="44" fontId="6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 vertical="center"/>
    </xf>
    <xf numFmtId="44" fontId="6" fillId="0" borderId="1" xfId="0" quotePrefix="1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/>
    </xf>
    <xf numFmtId="44" fontId="6" fillId="0" borderId="1" xfId="0" quotePrefix="1" applyNumberFormat="1" applyFont="1" applyBorder="1" applyAlignment="1">
      <alignment horizontal="left"/>
    </xf>
    <xf numFmtId="44" fontId="0" fillId="0" borderId="0" xfId="0" applyNumberFormat="1" applyFont="1"/>
    <xf numFmtId="44" fontId="0" fillId="0" borderId="0" xfId="0" applyNumberFormat="1"/>
    <xf numFmtId="0" fontId="8" fillId="0" borderId="0" xfId="0" applyFont="1"/>
    <xf numFmtId="0" fontId="9" fillId="0" borderId="0" xfId="0" applyFont="1"/>
    <xf numFmtId="0" fontId="8" fillId="0" borderId="19" xfId="0" applyFont="1" applyBorder="1" applyAlignment="1">
      <alignment horizontal="center"/>
    </xf>
    <xf numFmtId="0" fontId="9" fillId="0" borderId="17" xfId="0" applyFont="1" applyBorder="1"/>
    <xf numFmtId="0" fontId="8" fillId="0" borderId="11" xfId="0" applyFont="1" applyBorder="1"/>
    <xf numFmtId="0" fontId="10" fillId="3" borderId="19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0" fillId="0" borderId="10" xfId="0" applyFont="1" applyFill="1" applyBorder="1"/>
    <xf numFmtId="0" fontId="12" fillId="0" borderId="25" xfId="0" applyFont="1" applyFill="1" applyBorder="1" applyAlignment="1">
      <alignment horizontal="center"/>
    </xf>
    <xf numFmtId="4" fontId="12" fillId="0" borderId="21" xfId="0" quotePrefix="1" applyNumberFormat="1" applyFont="1" applyFill="1" applyBorder="1" applyAlignment="1">
      <alignment horizontal="center"/>
    </xf>
    <xf numFmtId="4" fontId="12" fillId="0" borderId="25" xfId="0" applyNumberFormat="1" applyFont="1" applyFill="1" applyBorder="1" applyAlignment="1">
      <alignment horizontal="center"/>
    </xf>
    <xf numFmtId="0" fontId="9" fillId="0" borderId="23" xfId="0" applyFont="1" applyFill="1" applyBorder="1"/>
    <xf numFmtId="0" fontId="9" fillId="0" borderId="23" xfId="0" applyFont="1" applyFill="1" applyBorder="1" applyAlignment="1">
      <alignment horizontal="center"/>
    </xf>
    <xf numFmtId="0" fontId="9" fillId="0" borderId="25" xfId="0" applyFont="1" applyBorder="1"/>
    <xf numFmtId="0" fontId="9" fillId="0" borderId="11" xfId="0" applyFont="1" applyBorder="1"/>
    <xf numFmtId="0" fontId="9" fillId="0" borderId="26" xfId="0" applyFont="1" applyBorder="1" applyAlignment="1">
      <alignment vertical="center"/>
    </xf>
    <xf numFmtId="0" fontId="12" fillId="0" borderId="4" xfId="0" quotePrefix="1" applyFont="1" applyBorder="1" applyAlignment="1">
      <alignment horizontal="center"/>
    </xf>
    <xf numFmtId="165" fontId="12" fillId="0" borderId="4" xfId="1" quotePrefix="1" applyNumberFormat="1" applyFont="1" applyFill="1" applyBorder="1" applyAlignment="1">
      <alignment horizontal="center"/>
    </xf>
    <xf numFmtId="44" fontId="9" fillId="0" borderId="4" xfId="0" applyNumberFormat="1" applyFont="1" applyFill="1" applyBorder="1" applyAlignment="1">
      <alignment horizontal="center"/>
    </xf>
    <xf numFmtId="44" fontId="9" fillId="0" borderId="4" xfId="1" applyFont="1" applyBorder="1"/>
    <xf numFmtId="44" fontId="9" fillId="0" borderId="4" xfId="0" applyNumberFormat="1" applyFont="1" applyBorder="1"/>
    <xf numFmtId="44" fontId="9" fillId="0" borderId="27" xfId="1" applyFont="1" applyBorder="1"/>
    <xf numFmtId="0" fontId="9" fillId="0" borderId="28" xfId="0" applyFont="1" applyBorder="1" applyAlignment="1">
      <alignment vertical="center"/>
    </xf>
    <xf numFmtId="0" fontId="12" fillId="0" borderId="28" xfId="0" applyFont="1" applyFill="1" applyBorder="1"/>
    <xf numFmtId="0" fontId="12" fillId="0" borderId="29" xfId="0" applyFont="1" applyBorder="1"/>
    <xf numFmtId="0" fontId="12" fillId="0" borderId="30" xfId="0" applyFont="1" applyBorder="1"/>
    <xf numFmtId="2" fontId="12" fillId="0" borderId="1" xfId="0" quotePrefix="1" applyNumberFormat="1" applyFont="1" applyBorder="1" applyAlignment="1">
      <alignment horizontal="center"/>
    </xf>
    <xf numFmtId="0" fontId="12" fillId="0" borderId="24" xfId="0" applyFont="1" applyBorder="1"/>
    <xf numFmtId="0" fontId="12" fillId="0" borderId="5" xfId="0" quotePrefix="1" applyFont="1" applyBorder="1" applyAlignment="1">
      <alignment horizontal="center"/>
    </xf>
    <xf numFmtId="44" fontId="12" fillId="0" borderId="1" xfId="0" quotePrefix="1" applyNumberFormat="1" applyFont="1" applyFill="1" applyBorder="1" applyAlignment="1">
      <alignment horizontal="center"/>
    </xf>
    <xf numFmtId="0" fontId="10" fillId="0" borderId="30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65" fontId="10" fillId="0" borderId="1" xfId="0" applyNumberFormat="1" applyFont="1" applyFill="1" applyBorder="1" applyAlignment="1">
      <alignment horizontal="left"/>
    </xf>
    <xf numFmtId="0" fontId="10" fillId="0" borderId="4" xfId="0" quotePrefix="1" applyNumberFormat="1" applyFont="1" applyFill="1" applyBorder="1" applyAlignment="1">
      <alignment horizontal="right"/>
    </xf>
    <xf numFmtId="44" fontId="10" fillId="0" borderId="1" xfId="0" quotePrefix="1" applyNumberFormat="1" applyFont="1" applyFill="1" applyBorder="1" applyAlignment="1">
      <alignment horizontal="center"/>
    </xf>
    <xf numFmtId="0" fontId="10" fillId="0" borderId="1" xfId="0" quotePrefix="1" applyNumberFormat="1" applyFont="1" applyFill="1" applyBorder="1" applyAlignment="1">
      <alignment horizontal="center"/>
    </xf>
    <xf numFmtId="44" fontId="8" fillId="0" borderId="1" xfId="1" applyFont="1" applyFill="1" applyBorder="1"/>
    <xf numFmtId="0" fontId="8" fillId="0" borderId="1" xfId="0" applyFont="1" applyFill="1" applyBorder="1"/>
    <xf numFmtId="44" fontId="8" fillId="0" borderId="31" xfId="1" applyFont="1" applyFill="1" applyBorder="1"/>
    <xf numFmtId="0" fontId="12" fillId="0" borderId="30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4" xfId="0" quotePrefix="1" applyNumberFormat="1" applyFont="1" applyFill="1" applyBorder="1" applyAlignment="1">
      <alignment horizontal="right"/>
    </xf>
    <xf numFmtId="0" fontId="12" fillId="0" borderId="1" xfId="0" quotePrefix="1" applyNumberFormat="1" applyFont="1" applyFill="1" applyBorder="1" applyAlignment="1">
      <alignment horizontal="center"/>
    </xf>
    <xf numFmtId="44" fontId="9" fillId="0" borderId="1" xfId="1" applyFont="1" applyBorder="1"/>
    <xf numFmtId="0" fontId="9" fillId="0" borderId="1" xfId="0" applyFont="1" applyBorder="1"/>
    <xf numFmtId="44" fontId="9" fillId="0" borderId="31" xfId="1" applyFont="1" applyBorder="1"/>
    <xf numFmtId="0" fontId="12" fillId="0" borderId="35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44" fontId="12" fillId="0" borderId="1" xfId="1" applyFont="1" applyFill="1" applyBorder="1" applyAlignment="1">
      <alignment horizontal="left"/>
    </xf>
    <xf numFmtId="44" fontId="12" fillId="0" borderId="1" xfId="0" quotePrefix="1" applyNumberFormat="1" applyFont="1" applyBorder="1" applyAlignment="1">
      <alignment horizontal="center"/>
    </xf>
    <xf numFmtId="0" fontId="12" fillId="0" borderId="1" xfId="0" quotePrefix="1" applyNumberFormat="1" applyFont="1" applyBorder="1" applyAlignment="1">
      <alignment horizontal="center"/>
    </xf>
    <xf numFmtId="44" fontId="9" fillId="0" borderId="1" xfId="0" applyNumberFormat="1" applyFont="1" applyBorder="1"/>
    <xf numFmtId="44" fontId="12" fillId="0" borderId="1" xfId="1" applyNumberFormat="1" applyFont="1" applyFill="1" applyBorder="1" applyAlignment="1">
      <alignment horizontal="left"/>
    </xf>
    <xf numFmtId="44" fontId="8" fillId="0" borderId="1" xfId="0" applyNumberFormat="1" applyFont="1" applyFill="1" applyBorder="1"/>
    <xf numFmtId="0" fontId="10" fillId="0" borderId="30" xfId="0" applyFont="1" applyFill="1" applyBorder="1"/>
    <xf numFmtId="0" fontId="10" fillId="0" borderId="2" xfId="0" applyFont="1" applyFill="1" applyBorder="1" applyAlignment="1">
      <alignment horizontal="center"/>
    </xf>
    <xf numFmtId="3" fontId="10" fillId="0" borderId="2" xfId="0" applyNumberFormat="1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/>
    </xf>
    <xf numFmtId="44" fontId="9" fillId="0" borderId="1" xfId="0" applyNumberFormat="1" applyFont="1" applyFill="1" applyBorder="1"/>
    <xf numFmtId="0" fontId="9" fillId="0" borderId="1" xfId="0" applyNumberFormat="1" applyFont="1" applyFill="1" applyBorder="1"/>
    <xf numFmtId="0" fontId="9" fillId="0" borderId="31" xfId="0" applyFont="1" applyBorder="1"/>
    <xf numFmtId="44" fontId="12" fillId="0" borderId="1" xfId="1" applyFont="1" applyFill="1" applyBorder="1" applyAlignment="1">
      <alignment horizontal="center"/>
    </xf>
    <xf numFmtId="44" fontId="12" fillId="2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28" xfId="0" applyFont="1" applyFill="1" applyBorder="1"/>
    <xf numFmtId="0" fontId="10" fillId="0" borderId="28" xfId="0" applyFont="1" applyFill="1" applyBorder="1"/>
    <xf numFmtId="0" fontId="12" fillId="0" borderId="1" xfId="0" quotePrefix="1" applyFont="1" applyFill="1" applyBorder="1" applyAlignment="1">
      <alignment horizontal="center"/>
    </xf>
    <xf numFmtId="3" fontId="12" fillId="0" borderId="1" xfId="0" quotePrefix="1" applyNumberFormat="1" applyFont="1" applyFill="1" applyBorder="1" applyAlignment="1">
      <alignment horizontal="center"/>
    </xf>
    <xf numFmtId="44" fontId="10" fillId="0" borderId="1" xfId="1" applyFont="1" applyFill="1" applyBorder="1" applyAlignment="1">
      <alignment horizontal="center"/>
    </xf>
    <xf numFmtId="0" fontId="10" fillId="0" borderId="1" xfId="0" quotePrefix="1" applyNumberFormat="1" applyFont="1" applyFill="1" applyBorder="1" applyAlignment="1">
      <alignment horizontal="right"/>
    </xf>
    <xf numFmtId="0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/>
    <xf numFmtId="0" fontId="12" fillId="2" borderId="24" xfId="0" applyFont="1" applyFill="1" applyBorder="1" applyAlignment="1"/>
    <xf numFmtId="44" fontId="12" fillId="0" borderId="4" xfId="0" quotePrefix="1" applyNumberFormat="1" applyFont="1" applyBorder="1" applyAlignment="1">
      <alignment horizontal="center"/>
    </xf>
    <xf numFmtId="0" fontId="12" fillId="0" borderId="9" xfId="0" quotePrefix="1" applyFont="1" applyBorder="1" applyAlignment="1">
      <alignment horizontal="center"/>
    </xf>
    <xf numFmtId="8" fontId="12" fillId="0" borderId="9" xfId="0" quotePrefix="1" applyNumberFormat="1" applyFont="1" applyFill="1" applyBorder="1" applyAlignment="1">
      <alignment horizontal="center"/>
    </xf>
    <xf numFmtId="0" fontId="12" fillId="0" borderId="28" xfId="0" applyFont="1" applyBorder="1"/>
    <xf numFmtId="0" fontId="12" fillId="0" borderId="1" xfId="0" quotePrefix="1" applyFont="1" applyBorder="1" applyAlignment="1">
      <alignment horizontal="center" vertical="center"/>
    </xf>
    <xf numFmtId="44" fontId="12" fillId="0" borderId="1" xfId="0" quotePrefix="1" applyNumberFormat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/>
    </xf>
    <xf numFmtId="44" fontId="12" fillId="0" borderId="1" xfId="0" quotePrefix="1" applyNumberFormat="1" applyFont="1" applyBorder="1" applyAlignment="1">
      <alignment horizontal="left"/>
    </xf>
    <xf numFmtId="0" fontId="8" fillId="0" borderId="28" xfId="0" applyFont="1" applyFill="1" applyBorder="1"/>
    <xf numFmtId="44" fontId="9" fillId="0" borderId="31" xfId="1" applyFont="1" applyFill="1" applyBorder="1"/>
    <xf numFmtId="0" fontId="9" fillId="0" borderId="28" xfId="0" applyFont="1" applyFill="1" applyBorder="1"/>
    <xf numFmtId="0" fontId="13" fillId="0" borderId="28" xfId="0" applyFont="1" applyFill="1" applyBorder="1" applyAlignment="1">
      <alignment horizontal="left" vertical="center" readingOrder="1"/>
    </xf>
    <xf numFmtId="0" fontId="8" fillId="0" borderId="1" xfId="0" applyFont="1" applyBorder="1"/>
    <xf numFmtId="0" fontId="13" fillId="0" borderId="28" xfId="0" applyFont="1" applyBorder="1" applyAlignment="1">
      <alignment horizontal="left" vertical="center" readingOrder="1"/>
    </xf>
    <xf numFmtId="0" fontId="8" fillId="0" borderId="32" xfId="0" applyFont="1" applyFill="1" applyBorder="1"/>
    <xf numFmtId="0" fontId="8" fillId="0" borderId="33" xfId="0" applyFont="1" applyFill="1" applyBorder="1"/>
    <xf numFmtId="44" fontId="8" fillId="0" borderId="33" xfId="1" applyFont="1" applyFill="1" applyBorder="1"/>
    <xf numFmtId="44" fontId="8" fillId="0" borderId="34" xfId="1" applyFont="1" applyFill="1" applyBorder="1"/>
    <xf numFmtId="0" fontId="6" fillId="0" borderId="0" xfId="0" applyFont="1" applyAlignment="1">
      <alignment wrapText="1"/>
    </xf>
    <xf numFmtId="0" fontId="15" fillId="0" borderId="0" xfId="0" applyFont="1"/>
    <xf numFmtId="0" fontId="16" fillId="0" borderId="0" xfId="0" applyFont="1"/>
    <xf numFmtId="44" fontId="7" fillId="3" borderId="1" xfId="0" quotePrefix="1" applyNumberFormat="1" applyFont="1" applyFill="1" applyBorder="1" applyAlignment="1">
      <alignment horizontal="center"/>
    </xf>
    <xf numFmtId="44" fontId="7" fillId="3" borderId="5" xfId="0" quotePrefix="1" applyNumberFormat="1" applyFont="1" applyFill="1" applyBorder="1" applyAlignment="1">
      <alignment horizontal="right"/>
    </xf>
    <xf numFmtId="44" fontId="6" fillId="0" borderId="1" xfId="0" quotePrefix="1" applyNumberFormat="1" applyFont="1" applyBorder="1" applyAlignment="1">
      <alignment horizontal="right"/>
    </xf>
    <xf numFmtId="0" fontId="6" fillId="0" borderId="1" xfId="0" applyFont="1" applyBorder="1"/>
    <xf numFmtId="44" fontId="6" fillId="0" borderId="1" xfId="0" quotePrefix="1" applyNumberFormat="1" applyFont="1" applyBorder="1" applyAlignment="1">
      <alignment horizontal="right" vertical="center"/>
    </xf>
    <xf numFmtId="44" fontId="6" fillId="0" borderId="9" xfId="0" quotePrefix="1" applyNumberFormat="1" applyFont="1" applyBorder="1" applyAlignment="1">
      <alignment horizontal="right"/>
    </xf>
    <xf numFmtId="0" fontId="6" fillId="2" borderId="40" xfId="0" applyFont="1" applyFill="1" applyBorder="1"/>
    <xf numFmtId="44" fontId="6" fillId="0" borderId="4" xfId="0" quotePrefix="1" applyNumberFormat="1" applyFont="1" applyBorder="1" applyAlignment="1">
      <alignment horizontal="right"/>
    </xf>
    <xf numFmtId="44" fontId="5" fillId="0" borderId="1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5" xfId="0" applyFont="1" applyBorder="1"/>
    <xf numFmtId="44" fontId="7" fillId="3" borderId="1" xfId="0" applyNumberFormat="1" applyFont="1" applyFill="1" applyBorder="1" applyAlignment="1">
      <alignment horizontal="center"/>
    </xf>
    <xf numFmtId="44" fontId="7" fillId="3" borderId="4" xfId="0" quotePrefix="1" applyNumberFormat="1" applyFont="1" applyFill="1" applyBorder="1" applyAlignment="1">
      <alignment horizontal="right"/>
    </xf>
    <xf numFmtId="0" fontId="6" fillId="0" borderId="35" xfId="0" applyFont="1" applyBorder="1"/>
    <xf numFmtId="0" fontId="6" fillId="2" borderId="1" xfId="0" applyFont="1" applyFill="1" applyBorder="1"/>
    <xf numFmtId="0" fontId="6" fillId="0" borderId="41" xfId="0" applyFont="1" applyBorder="1"/>
    <xf numFmtId="0" fontId="7" fillId="3" borderId="1" xfId="0" applyFont="1" applyFill="1" applyBorder="1" applyAlignment="1">
      <alignment horizontal="left"/>
    </xf>
    <xf numFmtId="0" fontId="7" fillId="3" borderId="35" xfId="0" applyFont="1" applyFill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4" fontId="7" fillId="3" borderId="1" xfId="0" quotePrefix="1" applyNumberFormat="1" applyFont="1" applyFill="1" applyBorder="1" applyAlignment="1">
      <alignment horizontal="right"/>
    </xf>
    <xf numFmtId="0" fontId="6" fillId="0" borderId="40" xfId="0" applyFont="1" applyBorder="1"/>
    <xf numFmtId="0" fontId="5" fillId="0" borderId="1" xfId="0" applyFont="1" applyBorder="1" applyAlignment="1">
      <alignment horizontal="center"/>
    </xf>
    <xf numFmtId="4" fontId="6" fillId="0" borderId="3" xfId="0" quotePrefix="1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7" fillId="3" borderId="40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8" fillId="0" borderId="0" xfId="0" applyFont="1"/>
    <xf numFmtId="2" fontId="19" fillId="0" borderId="34" xfId="0" applyNumberFormat="1" applyFont="1" applyBorder="1"/>
    <xf numFmtId="2" fontId="19" fillId="0" borderId="33" xfId="0" applyNumberFormat="1" applyFont="1" applyBorder="1"/>
    <xf numFmtId="0" fontId="19" fillId="0" borderId="33" xfId="0" applyFont="1" applyBorder="1"/>
    <xf numFmtId="0" fontId="19" fillId="0" borderId="32" xfId="0" applyFont="1" applyBorder="1"/>
    <xf numFmtId="2" fontId="19" fillId="0" borderId="31" xfId="0" applyNumberFormat="1" applyFont="1" applyBorder="1"/>
    <xf numFmtId="2" fontId="19" fillId="0" borderId="1" xfId="0" applyNumberFormat="1" applyFont="1" applyBorder="1"/>
    <xf numFmtId="0" fontId="19" fillId="0" borderId="1" xfId="0" applyFont="1" applyBorder="1"/>
    <xf numFmtId="0" fontId="19" fillId="0" borderId="28" xfId="0" applyFont="1" applyBorder="1"/>
    <xf numFmtId="44" fontId="19" fillId="0" borderId="31" xfId="1" applyFont="1" applyBorder="1"/>
    <xf numFmtId="44" fontId="19" fillId="0" borderId="1" xfId="1" applyFont="1" applyBorder="1"/>
    <xf numFmtId="44" fontId="19" fillId="0" borderId="27" xfId="1" applyFont="1" applyBorder="1"/>
    <xf numFmtId="44" fontId="19" fillId="0" borderId="4" xfId="1" applyFont="1" applyBorder="1"/>
    <xf numFmtId="0" fontId="19" fillId="0" borderId="26" xfId="0" applyFont="1" applyBorder="1"/>
    <xf numFmtId="0" fontId="19" fillId="3" borderId="42" xfId="0" applyFont="1" applyFill="1" applyBorder="1"/>
    <xf numFmtId="0" fontId="19" fillId="3" borderId="43" xfId="0" applyFont="1" applyFill="1" applyBorder="1"/>
    <xf numFmtId="0" fontId="19" fillId="3" borderId="44" xfId="0" applyFont="1" applyFill="1" applyBorder="1"/>
    <xf numFmtId="0" fontId="19" fillId="3" borderId="45" xfId="0" applyFont="1" applyFill="1" applyBorder="1" applyAlignment="1">
      <alignment horizontal="center"/>
    </xf>
    <xf numFmtId="0" fontId="19" fillId="3" borderId="46" xfId="0" applyFont="1" applyFill="1" applyBorder="1" applyAlignment="1">
      <alignment horizontal="center"/>
    </xf>
    <xf numFmtId="9" fontId="19" fillId="3" borderId="46" xfId="0" applyNumberFormat="1" applyFont="1" applyFill="1" applyBorder="1" applyAlignment="1">
      <alignment horizontal="center"/>
    </xf>
    <xf numFmtId="0" fontId="19" fillId="3" borderId="16" xfId="0" applyFont="1" applyFill="1" applyBorder="1" applyAlignment="1">
      <alignment horizontal="center"/>
    </xf>
    <xf numFmtId="0" fontId="19" fillId="3" borderId="47" xfId="0" applyFont="1" applyFill="1" applyBorder="1" applyAlignment="1">
      <alignment horizontal="center"/>
    </xf>
    <xf numFmtId="9" fontId="19" fillId="3" borderId="47" xfId="0" applyNumberFormat="1" applyFont="1" applyFill="1" applyBorder="1" applyAlignment="1">
      <alignment horizontal="center"/>
    </xf>
    <xf numFmtId="0" fontId="19" fillId="3" borderId="48" xfId="0" applyFont="1" applyFill="1" applyBorder="1"/>
    <xf numFmtId="0" fontId="19" fillId="3" borderId="14" xfId="0" applyFont="1" applyFill="1" applyBorder="1" applyAlignment="1">
      <alignment horizontal="center"/>
    </xf>
    <xf numFmtId="0" fontId="19" fillId="3" borderId="20" xfId="0" applyFont="1" applyFill="1" applyBorder="1" applyAlignment="1">
      <alignment horizontal="center"/>
    </xf>
    <xf numFmtId="0" fontId="19" fillId="3" borderId="19" xfId="0" applyFont="1" applyFill="1" applyBorder="1"/>
    <xf numFmtId="2" fontId="19" fillId="0" borderId="31" xfId="1" applyNumberFormat="1" applyFont="1" applyBorder="1"/>
    <xf numFmtId="2" fontId="19" fillId="0" borderId="34" xfId="1" applyNumberFormat="1" applyFont="1" applyBorder="1"/>
    <xf numFmtId="44" fontId="19" fillId="0" borderId="33" xfId="1" applyFont="1" applyBorder="1"/>
    <xf numFmtId="0" fontId="19" fillId="3" borderId="11" xfId="0" applyFont="1" applyFill="1" applyBorder="1"/>
    <xf numFmtId="0" fontId="19" fillId="3" borderId="25" xfId="0" applyFont="1" applyFill="1" applyBorder="1"/>
    <xf numFmtId="0" fontId="19" fillId="3" borderId="10" xfId="0" applyFont="1" applyFill="1" applyBorder="1"/>
    <xf numFmtId="0" fontId="19" fillId="0" borderId="0" xfId="0" applyFont="1"/>
    <xf numFmtId="44" fontId="7" fillId="0" borderId="8" xfId="0" quotePrefix="1" applyNumberFormat="1" applyFont="1" applyFill="1" applyBorder="1" applyAlignment="1">
      <alignment horizontal="left"/>
    </xf>
    <xf numFmtId="44" fontId="7" fillId="0" borderId="1" xfId="0" quotePrefix="1" applyNumberFormat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44" fontId="9" fillId="0" borderId="1" xfId="0" applyNumberFormat="1" applyFont="1" applyBorder="1" applyAlignment="1">
      <alignment horizontal="center"/>
    </xf>
    <xf numFmtId="0" fontId="9" fillId="0" borderId="31" xfId="1" applyNumberFormat="1" applyFont="1" applyBorder="1" applyAlignment="1">
      <alignment horizontal="center"/>
    </xf>
    <xf numFmtId="0" fontId="12" fillId="0" borderId="1" xfId="0" quotePrefix="1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/>
    </xf>
    <xf numFmtId="44" fontId="9" fillId="0" borderId="31" xfId="1" applyFont="1" applyBorder="1" applyAlignment="1">
      <alignment horizontal="center"/>
    </xf>
    <xf numFmtId="44" fontId="8" fillId="0" borderId="0" xfId="1" applyFont="1"/>
    <xf numFmtId="0" fontId="9" fillId="0" borderId="0" xfId="0" applyFont="1" applyBorder="1"/>
    <xf numFmtId="0" fontId="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44" fontId="12" fillId="4" borderId="4" xfId="0" quotePrefix="1" applyNumberFormat="1" applyFont="1" applyFill="1" applyBorder="1" applyAlignment="1" applyProtection="1">
      <alignment horizontal="center"/>
      <protection locked="0"/>
    </xf>
    <xf numFmtId="3" fontId="12" fillId="4" borderId="4" xfId="0" applyNumberFormat="1" applyFont="1" applyFill="1" applyBorder="1" applyAlignment="1" applyProtection="1">
      <alignment horizontal="center"/>
      <protection locked="0"/>
    </xf>
    <xf numFmtId="3" fontId="12" fillId="4" borderId="1" xfId="0" applyNumberFormat="1" applyFont="1" applyFill="1" applyBorder="1" applyAlignment="1" applyProtection="1">
      <alignment horizontal="center"/>
      <protection locked="0"/>
    </xf>
    <xf numFmtId="3" fontId="12" fillId="4" borderId="4" xfId="0" quotePrefix="1" applyNumberFormat="1" applyFont="1" applyFill="1" applyBorder="1" applyAlignment="1" applyProtection="1">
      <alignment horizontal="center"/>
      <protection locked="0"/>
    </xf>
    <xf numFmtId="3" fontId="12" fillId="4" borderId="1" xfId="0" quotePrefix="1" applyNumberFormat="1" applyFont="1" applyFill="1" applyBorder="1" applyAlignment="1" applyProtection="1">
      <alignment horizontal="center"/>
      <protection locked="0"/>
    </xf>
    <xf numFmtId="0" fontId="9" fillId="4" borderId="4" xfId="0" applyNumberFormat="1" applyFont="1" applyFill="1" applyBorder="1" applyProtection="1">
      <protection locked="0"/>
    </xf>
    <xf numFmtId="0" fontId="12" fillId="4" borderId="4" xfId="0" quotePrefix="1" applyNumberFormat="1" applyFont="1" applyFill="1" applyBorder="1" applyAlignment="1" applyProtection="1">
      <alignment horizontal="right"/>
      <protection locked="0"/>
    </xf>
    <xf numFmtId="0" fontId="12" fillId="4" borderId="1" xfId="0" quotePrefix="1" applyNumberFormat="1" applyFont="1" applyFill="1" applyBorder="1" applyAlignment="1" applyProtection="1">
      <alignment horizontal="right"/>
      <protection locked="0"/>
    </xf>
    <xf numFmtId="0" fontId="9" fillId="4" borderId="4" xfId="0" applyNumberFormat="1" applyFont="1" applyFill="1" applyBorder="1" applyAlignment="1" applyProtection="1">
      <alignment horizontal="center"/>
      <protection locked="0"/>
    </xf>
    <xf numFmtId="0" fontId="9" fillId="4" borderId="1" xfId="0" applyNumberFormat="1" applyFont="1" applyFill="1" applyBorder="1" applyAlignment="1" applyProtection="1">
      <alignment horizontal="center"/>
      <protection locked="0"/>
    </xf>
    <xf numFmtId="0" fontId="12" fillId="4" borderId="1" xfId="0" quotePrefix="1" applyNumberFormat="1" applyFont="1" applyFill="1" applyBorder="1" applyAlignment="1" applyProtection="1">
      <alignment horizontal="center"/>
      <protection locked="0"/>
    </xf>
    <xf numFmtId="44" fontId="12" fillId="4" borderId="1" xfId="1" applyFont="1" applyFill="1" applyBorder="1" applyAlignment="1" applyProtection="1">
      <alignment horizontal="left"/>
      <protection locked="0"/>
    </xf>
    <xf numFmtId="0" fontId="12" fillId="4" borderId="1" xfId="0" applyFont="1" applyFill="1" applyBorder="1" applyAlignment="1" applyProtection="1">
      <alignment horizontal="center"/>
      <protection locked="0"/>
    </xf>
    <xf numFmtId="44" fontId="12" fillId="4" borderId="1" xfId="1" applyFont="1" applyFill="1" applyBorder="1" applyAlignment="1" applyProtection="1">
      <alignment horizontal="center"/>
      <protection locked="0"/>
    </xf>
    <xf numFmtId="44" fontId="12" fillId="4" borderId="1" xfId="0" quotePrefix="1" applyNumberFormat="1" applyFont="1" applyFill="1" applyBorder="1" applyAlignment="1" applyProtection="1">
      <alignment horizontal="center"/>
      <protection locked="0"/>
    </xf>
    <xf numFmtId="4" fontId="12" fillId="4" borderId="1" xfId="0" quotePrefix="1" applyNumberFormat="1" applyFont="1" applyFill="1" applyBorder="1" applyAlignment="1" applyProtection="1">
      <alignment horizontal="center"/>
      <protection locked="0"/>
    </xf>
    <xf numFmtId="164" fontId="12" fillId="4" borderId="1" xfId="0" quotePrefix="1" applyNumberFormat="1" applyFont="1" applyFill="1" applyBorder="1" applyAlignment="1" applyProtection="1">
      <alignment horizontal="center"/>
      <protection locked="0"/>
    </xf>
    <xf numFmtId="44" fontId="12" fillId="4" borderId="1" xfId="1" quotePrefix="1" applyFont="1" applyFill="1" applyBorder="1" applyAlignment="1" applyProtection="1">
      <alignment horizontal="center"/>
      <protection locked="0"/>
    </xf>
    <xf numFmtId="0" fontId="9" fillId="4" borderId="1" xfId="0" applyNumberFormat="1" applyFont="1" applyFill="1" applyBorder="1" applyProtection="1">
      <protection locked="0"/>
    </xf>
    <xf numFmtId="44" fontId="12" fillId="4" borderId="4" xfId="1" quotePrefix="1" applyFont="1" applyFill="1" applyBorder="1" applyAlignment="1" applyProtection="1">
      <alignment horizontal="center"/>
      <protection locked="0"/>
    </xf>
    <xf numFmtId="0" fontId="12" fillId="4" borderId="9" xfId="0" quotePrefix="1" applyNumberFormat="1" applyFont="1" applyFill="1" applyBorder="1" applyAlignment="1" applyProtection="1">
      <alignment horizontal="right"/>
      <protection locked="0"/>
    </xf>
    <xf numFmtId="0" fontId="12" fillId="4" borderId="1" xfId="0" quotePrefix="1" applyNumberFormat="1" applyFont="1" applyFill="1" applyBorder="1" applyAlignment="1" applyProtection="1">
      <alignment horizontal="right" vertical="center"/>
      <protection locked="0"/>
    </xf>
    <xf numFmtId="9" fontId="12" fillId="4" borderId="1" xfId="0" quotePrefix="1" applyNumberFormat="1" applyFont="1" applyFill="1" applyBorder="1" applyAlignment="1" applyProtection="1">
      <alignment horizontal="right" vertical="center"/>
      <protection locked="0"/>
    </xf>
    <xf numFmtId="9" fontId="12" fillId="4" borderId="1" xfId="0" quotePrefix="1" applyNumberFormat="1" applyFont="1" applyFill="1" applyBorder="1" applyAlignment="1" applyProtection="1">
      <alignment horizontal="center" vertical="center"/>
      <protection locked="0"/>
    </xf>
    <xf numFmtId="9" fontId="12" fillId="4" borderId="1" xfId="0" quotePrefix="1" applyNumberFormat="1" applyFont="1" applyFill="1" applyBorder="1" applyAlignment="1" applyProtection="1">
      <alignment horizontal="center"/>
      <protection locked="0"/>
    </xf>
    <xf numFmtId="44" fontId="9" fillId="4" borderId="1" xfId="0" applyNumberFormat="1" applyFont="1" applyFill="1" applyBorder="1" applyProtection="1">
      <protection locked="0"/>
    </xf>
    <xf numFmtId="0" fontId="4" fillId="0" borderId="0" xfId="0" applyFont="1" applyFill="1" applyAlignment="1">
      <alignment horizontal="center"/>
    </xf>
    <xf numFmtId="0" fontId="4" fillId="0" borderId="0" xfId="2" applyFont="1" applyAlignment="1"/>
    <xf numFmtId="0" fontId="21" fillId="0" borderId="0" xfId="2" applyFont="1" applyAlignment="1"/>
    <xf numFmtId="0" fontId="4" fillId="0" borderId="0" xfId="0" applyFont="1" applyFill="1" applyAlignment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12" fillId="4" borderId="4" xfId="0" quotePrefix="1" applyFont="1" applyFill="1" applyBorder="1" applyAlignment="1" applyProtection="1">
      <alignment horizontal="center"/>
      <protection locked="0"/>
    </xf>
    <xf numFmtId="0" fontId="12" fillId="4" borderId="9" xfId="0" quotePrefix="1" applyFont="1" applyFill="1" applyBorder="1" applyAlignment="1" applyProtection="1">
      <alignment horizontal="center"/>
      <protection locked="0"/>
    </xf>
    <xf numFmtId="3" fontId="6" fillId="4" borderId="4" xfId="0" quotePrefix="1" applyNumberFormat="1" applyFont="1" applyFill="1" applyBorder="1" applyAlignment="1" applyProtection="1">
      <alignment horizontal="center"/>
      <protection locked="0"/>
    </xf>
    <xf numFmtId="44" fontId="6" fillId="4" borderId="1" xfId="0" quotePrefix="1" applyNumberFormat="1" applyFont="1" applyFill="1" applyBorder="1" applyAlignment="1" applyProtection="1">
      <alignment horizontal="center"/>
      <protection locked="0"/>
    </xf>
    <xf numFmtId="3" fontId="6" fillId="4" borderId="1" xfId="0" quotePrefix="1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44" fontId="6" fillId="4" borderId="1" xfId="1" applyFont="1" applyFill="1" applyBorder="1" applyAlignment="1" applyProtection="1">
      <alignment horizontal="left"/>
      <protection locked="0"/>
    </xf>
    <xf numFmtId="164" fontId="6" fillId="4" borderId="1" xfId="0" quotePrefix="1" applyNumberFormat="1" applyFont="1" applyFill="1" applyBorder="1" applyAlignment="1" applyProtection="1">
      <alignment horizontal="center"/>
      <protection locked="0"/>
    </xf>
    <xf numFmtId="44" fontId="6" fillId="4" borderId="1" xfId="1" quotePrefix="1" applyFont="1" applyFill="1" applyBorder="1" applyAlignment="1" applyProtection="1">
      <alignment horizontal="center"/>
      <protection locked="0"/>
    </xf>
    <xf numFmtId="3" fontId="6" fillId="4" borderId="1" xfId="0" applyNumberFormat="1" applyFont="1" applyFill="1" applyBorder="1" applyAlignment="1" applyProtection="1">
      <alignment horizontal="center"/>
      <protection locked="0"/>
    </xf>
    <xf numFmtId="0" fontId="6" fillId="4" borderId="4" xfId="0" quotePrefix="1" applyFont="1" applyFill="1" applyBorder="1" applyAlignment="1" applyProtection="1">
      <alignment horizontal="center"/>
      <protection locked="0"/>
    </xf>
    <xf numFmtId="44" fontId="6" fillId="4" borderId="4" xfId="0" quotePrefix="1" applyNumberFormat="1" applyFont="1" applyFill="1" applyBorder="1" applyAlignment="1" applyProtection="1">
      <alignment horizontal="center"/>
      <protection locked="0"/>
    </xf>
    <xf numFmtId="0" fontId="6" fillId="4" borderId="9" xfId="0" quotePrefix="1" applyFont="1" applyFill="1" applyBorder="1" applyAlignment="1" applyProtection="1">
      <alignment horizontal="center"/>
      <protection locked="0"/>
    </xf>
    <xf numFmtId="44" fontId="6" fillId="4" borderId="9" xfId="0" quotePrefix="1" applyNumberFormat="1" applyFont="1" applyFill="1" applyBorder="1" applyAlignment="1" applyProtection="1">
      <alignment horizontal="center"/>
      <protection locked="0"/>
    </xf>
    <xf numFmtId="44" fontId="6" fillId="4" borderId="1" xfId="0" quotePrefix="1" applyNumberFormat="1" applyFont="1" applyFill="1" applyBorder="1" applyAlignment="1" applyProtection="1">
      <alignment horizontal="right" vertical="center"/>
      <protection locked="0"/>
    </xf>
    <xf numFmtId="9" fontId="6" fillId="4" borderId="1" xfId="0" quotePrefix="1" applyNumberFormat="1" applyFont="1" applyFill="1" applyBorder="1" applyAlignment="1" applyProtection="1">
      <alignment horizontal="center" vertical="center"/>
      <protection locked="0"/>
    </xf>
    <xf numFmtId="44" fontId="6" fillId="4" borderId="1" xfId="0" quotePrefix="1" applyNumberFormat="1" applyFont="1" applyFill="1" applyBorder="1" applyAlignment="1" applyProtection="1">
      <alignment horizontal="center" vertical="center"/>
      <protection locked="0"/>
    </xf>
    <xf numFmtId="9" fontId="6" fillId="4" borderId="1" xfId="0" quotePrefix="1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2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/>
    </xf>
    <xf numFmtId="0" fontId="21" fillId="0" borderId="0" xfId="2" applyFont="1" applyAlignment="1">
      <alignment horizontal="center"/>
    </xf>
    <xf numFmtId="0" fontId="4" fillId="4" borderId="0" xfId="0" applyFont="1" applyFill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6" xfId="0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7" fillId="0" borderId="39" xfId="0" applyFont="1" applyFill="1" applyBorder="1" applyAlignment="1">
      <alignment horizontal="left"/>
    </xf>
    <xf numFmtId="0" fontId="7" fillId="0" borderId="38" xfId="0" applyFont="1" applyFill="1" applyBorder="1" applyAlignment="1">
      <alignment horizontal="left"/>
    </xf>
    <xf numFmtId="0" fontId="7" fillId="0" borderId="37" xfId="0" applyFont="1" applyFill="1" applyBorder="1" applyAlignment="1">
      <alignment horizontal="left"/>
    </xf>
    <xf numFmtId="0" fontId="7" fillId="3" borderId="35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0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7" fillId="0" borderId="35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4" fillId="0" borderId="0" xfId="2" applyFont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F070B793-A45A-426C-A194-ECAEE3D6C457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238125</xdr:colOff>
      <xdr:row>23</xdr:row>
      <xdr:rowOff>114300</xdr:rowOff>
    </xdr:from>
    <xdr:to>
      <xdr:col>23</xdr:col>
      <xdr:colOff>428625</xdr:colOff>
      <xdr:row>29</xdr:row>
      <xdr:rowOff>28575</xdr:rowOff>
    </xdr:to>
    <xdr:sp macro="" textlink="">
      <xdr:nvSpPr>
        <xdr:cNvPr id="1027" name="Rectangle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19573875" y="1971675"/>
          <a:ext cx="1905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363963</xdr:colOff>
      <xdr:row>0</xdr:row>
      <xdr:rowOff>61951</xdr:rowOff>
    </xdr:from>
    <xdr:to>
      <xdr:col>0</xdr:col>
      <xdr:colOff>1233913</xdr:colOff>
      <xdr:row>5</xdr:row>
      <xdr:rowOff>1703</xdr:rowOff>
    </xdr:to>
    <xdr:pic>
      <xdr:nvPicPr>
        <xdr:cNvPr id="4" name="Picture 3" descr="Image result for UPRM">
          <a:extLst>
            <a:ext uri="{FF2B5EF4-FFF2-40B4-BE49-F238E27FC236}">
              <a16:creationId xmlns:a16="http://schemas.microsoft.com/office/drawing/2014/main" id="{1E1E9211-F017-4C32-9073-A66903628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963" y="61951"/>
          <a:ext cx="869950" cy="907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1997029</xdr:colOff>
      <xdr:row>112</xdr:row>
      <xdr:rowOff>156449</xdr:rowOff>
    </xdr:from>
    <xdr:to>
      <xdr:col>0</xdr:col>
      <xdr:colOff>3115996</xdr:colOff>
      <xdr:row>117</xdr:row>
      <xdr:rowOff>6355</xdr:rowOff>
    </xdr:to>
    <xdr:pic>
      <xdr:nvPicPr>
        <xdr:cNvPr id="5" name="Picture 4" descr="Related image">
          <a:extLst>
            <a:ext uri="{FF2B5EF4-FFF2-40B4-BE49-F238E27FC236}">
              <a16:creationId xmlns:a16="http://schemas.microsoft.com/office/drawing/2014/main" id="{AFB7BE3C-C062-4870-9B6D-A1677639B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7029" y="21451956"/>
          <a:ext cx="1118967" cy="770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829047</xdr:colOff>
      <xdr:row>111</xdr:row>
      <xdr:rowOff>100670</xdr:rowOff>
    </xdr:from>
    <xdr:to>
      <xdr:col>6</xdr:col>
      <xdr:colOff>74848</xdr:colOff>
      <xdr:row>117</xdr:row>
      <xdr:rowOff>159959</xdr:rowOff>
    </xdr:to>
    <xdr:pic>
      <xdr:nvPicPr>
        <xdr:cNvPr id="6" name="Picture 5" descr="Image result for upr logo">
          <a:extLst>
            <a:ext uri="{FF2B5EF4-FFF2-40B4-BE49-F238E27FC236}">
              <a16:creationId xmlns:a16="http://schemas.microsoft.com/office/drawing/2014/main" id="{36EE4D3E-9DE4-47BB-921D-6C35583D0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2380" y="21212119"/>
          <a:ext cx="2034280" cy="1163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837463</xdr:colOff>
      <xdr:row>113</xdr:row>
      <xdr:rowOff>46014</xdr:rowOff>
    </xdr:from>
    <xdr:to>
      <xdr:col>10</xdr:col>
      <xdr:colOff>655340</xdr:colOff>
      <xdr:row>117</xdr:row>
      <xdr:rowOff>86428</xdr:rowOff>
    </xdr:to>
    <xdr:pic>
      <xdr:nvPicPr>
        <xdr:cNvPr id="7" name="Picture 6" descr="Image result for UPRM">
          <a:extLst>
            <a:ext uri="{FF2B5EF4-FFF2-40B4-BE49-F238E27FC236}">
              <a16:creationId xmlns:a16="http://schemas.microsoft.com/office/drawing/2014/main" id="{5800ED37-19E7-4C86-B1BA-6AF6E7442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4927" y="21525579"/>
          <a:ext cx="765776" cy="776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238125</xdr:colOff>
      <xdr:row>16</xdr:row>
      <xdr:rowOff>114300</xdr:rowOff>
    </xdr:from>
    <xdr:ext cx="190500" cy="9810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CBF4203-C544-4F8F-923C-AC0598DFA0F0}"/>
            </a:ext>
          </a:extLst>
        </xdr:cNvPr>
        <xdr:cNvSpPr>
          <a:spLocks noChangeArrowheads="1"/>
        </xdr:cNvSpPr>
      </xdr:nvSpPr>
      <xdr:spPr bwMode="auto">
        <a:xfrm>
          <a:off x="13649325" y="1587500"/>
          <a:ext cx="1905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364832</xdr:colOff>
      <xdr:row>17</xdr:row>
      <xdr:rowOff>0</xdr:rowOff>
    </xdr:from>
    <xdr:ext cx="711494" cy="302127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FD2884B-3C41-4BD8-BAFA-480112ABD08F}"/>
            </a:ext>
          </a:extLst>
        </xdr:cNvPr>
        <xdr:cNvSpPr/>
      </xdr:nvSpPr>
      <xdr:spPr>
        <a:xfrm>
          <a:off x="5241632" y="1473200"/>
          <a:ext cx="711494" cy="30212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endParaRPr lang="en-US" sz="1000" b="1" i="1" cap="none" spc="0">
            <a:ln w="1905"/>
            <a:solidFill>
              <a:srgbClr val="C0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latin typeface="Aparajita" pitchFamily="34" charset="0"/>
            <a:cs typeface="Aparajita" pitchFamily="34" charset="0"/>
          </a:endParaRPr>
        </a:p>
      </xdr:txBody>
    </xdr:sp>
    <xdr:clientData/>
  </xdr:oneCellAnchor>
  <xdr:oneCellAnchor>
    <xdr:from>
      <xdr:col>2</xdr:col>
      <xdr:colOff>841082</xdr:colOff>
      <xdr:row>22</xdr:row>
      <xdr:rowOff>19050</xdr:rowOff>
    </xdr:from>
    <xdr:ext cx="711494" cy="302127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223F644-2318-46F0-A45B-DA45A6985B89}"/>
            </a:ext>
          </a:extLst>
        </xdr:cNvPr>
        <xdr:cNvSpPr/>
      </xdr:nvSpPr>
      <xdr:spPr>
        <a:xfrm>
          <a:off x="1831682" y="2965450"/>
          <a:ext cx="711494" cy="30212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endParaRPr lang="en-US" sz="1000" b="1" i="1" cap="none" spc="0">
            <a:ln w="1905"/>
            <a:solidFill>
              <a:srgbClr val="C0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latin typeface="Aparajita" pitchFamily="34" charset="0"/>
            <a:cs typeface="Aparajita" pitchFamily="34" charset="0"/>
          </a:endParaRPr>
        </a:p>
      </xdr:txBody>
    </xdr:sp>
    <xdr:clientData/>
  </xdr:oneCellAnchor>
  <xdr:twoCellAnchor editAs="oneCell">
    <xdr:from>
      <xdr:col>0</xdr:col>
      <xdr:colOff>363963</xdr:colOff>
      <xdr:row>0</xdr:row>
      <xdr:rowOff>61951</xdr:rowOff>
    </xdr:from>
    <xdr:to>
      <xdr:col>0</xdr:col>
      <xdr:colOff>1233913</xdr:colOff>
      <xdr:row>5</xdr:row>
      <xdr:rowOff>21041</xdr:rowOff>
    </xdr:to>
    <xdr:pic>
      <xdr:nvPicPr>
        <xdr:cNvPr id="5" name="Picture 4" descr="Image result for UPRM">
          <a:extLst>
            <a:ext uri="{FF2B5EF4-FFF2-40B4-BE49-F238E27FC236}">
              <a16:creationId xmlns:a16="http://schemas.microsoft.com/office/drawing/2014/main" id="{CFE2C317-DD49-4F0C-8548-DB1073BF2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963" y="61951"/>
          <a:ext cx="869950" cy="924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450234</xdr:colOff>
      <xdr:row>97</xdr:row>
      <xdr:rowOff>42476</xdr:rowOff>
    </xdr:from>
    <xdr:to>
      <xdr:col>0</xdr:col>
      <xdr:colOff>1569201</xdr:colOff>
      <xdr:row>101</xdr:row>
      <xdr:rowOff>79625</xdr:rowOff>
    </xdr:to>
    <xdr:pic>
      <xdr:nvPicPr>
        <xdr:cNvPr id="6" name="Picture 5" descr="Related image">
          <a:extLst>
            <a:ext uri="{FF2B5EF4-FFF2-40B4-BE49-F238E27FC236}">
              <a16:creationId xmlns:a16="http://schemas.microsoft.com/office/drawing/2014/main" id="{ED485775-9608-4CFA-804F-0E017BEA4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34" y="18571450"/>
          <a:ext cx="1118967" cy="786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3995906</xdr:colOff>
      <xdr:row>96</xdr:row>
      <xdr:rowOff>84387</xdr:rowOff>
    </xdr:from>
    <xdr:to>
      <xdr:col>2</xdr:col>
      <xdr:colOff>159027</xdr:colOff>
      <xdr:row>102</xdr:row>
      <xdr:rowOff>143677</xdr:rowOff>
    </xdr:to>
    <xdr:pic>
      <xdr:nvPicPr>
        <xdr:cNvPr id="7" name="Picture 6" descr="Image result for upr logo">
          <a:extLst>
            <a:ext uri="{FF2B5EF4-FFF2-40B4-BE49-F238E27FC236}">
              <a16:creationId xmlns:a16="http://schemas.microsoft.com/office/drawing/2014/main" id="{9FE05384-F0C3-430C-A998-AB4F8A61E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5906" y="18678490"/>
          <a:ext cx="2032800" cy="1182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926363</xdr:colOff>
      <xdr:row>97</xdr:row>
      <xdr:rowOff>29733</xdr:rowOff>
    </xdr:from>
    <xdr:to>
      <xdr:col>5</xdr:col>
      <xdr:colOff>756126</xdr:colOff>
      <xdr:row>101</xdr:row>
      <xdr:rowOff>70146</xdr:rowOff>
    </xdr:to>
    <xdr:pic>
      <xdr:nvPicPr>
        <xdr:cNvPr id="8" name="Picture 7" descr="Image result for UPRM">
          <a:extLst>
            <a:ext uri="{FF2B5EF4-FFF2-40B4-BE49-F238E27FC236}">
              <a16:creationId xmlns:a16="http://schemas.microsoft.com/office/drawing/2014/main" id="{A14B4C15-603A-469C-ABDC-F24B065A8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6812" y="18811079"/>
          <a:ext cx="765981" cy="789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363963</xdr:colOff>
      <xdr:row>0</xdr:row>
      <xdr:rowOff>61951</xdr:rowOff>
    </xdr:from>
    <xdr:to>
      <xdr:col>0</xdr:col>
      <xdr:colOff>1327727</xdr:colOff>
      <xdr:row>5</xdr:row>
      <xdr:rowOff>84541</xdr:rowOff>
    </xdr:to>
    <xdr:pic>
      <xdr:nvPicPr>
        <xdr:cNvPr id="2" name="Picture 1" descr="Image result for UPRM">
          <a:extLst>
            <a:ext uri="{FF2B5EF4-FFF2-40B4-BE49-F238E27FC236}">
              <a16:creationId xmlns:a16="http://schemas.microsoft.com/office/drawing/2014/main" id="{38F8B0C3-85CD-49A5-B451-B107E9A4D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963" y="61951"/>
          <a:ext cx="963764" cy="101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329870</xdr:colOff>
      <xdr:row>97</xdr:row>
      <xdr:rowOff>90714</xdr:rowOff>
    </xdr:from>
    <xdr:to>
      <xdr:col>0</xdr:col>
      <xdr:colOff>1448837</xdr:colOff>
      <xdr:row>101</xdr:row>
      <xdr:rowOff>151124</xdr:rowOff>
    </xdr:to>
    <xdr:pic>
      <xdr:nvPicPr>
        <xdr:cNvPr id="3" name="Picture 2" descr="Related image">
          <a:extLst>
            <a:ext uri="{FF2B5EF4-FFF2-40B4-BE49-F238E27FC236}">
              <a16:creationId xmlns:a16="http://schemas.microsoft.com/office/drawing/2014/main" id="{81B3C16C-7FD8-47C7-8A31-307E3E471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870" y="17483117"/>
          <a:ext cx="1118967" cy="786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32987</xdr:colOff>
      <xdr:row>96</xdr:row>
      <xdr:rowOff>131948</xdr:rowOff>
    </xdr:from>
    <xdr:to>
      <xdr:col>5</xdr:col>
      <xdr:colOff>391696</xdr:colOff>
      <xdr:row>103</xdr:row>
      <xdr:rowOff>44699</xdr:rowOff>
    </xdr:to>
    <xdr:pic>
      <xdr:nvPicPr>
        <xdr:cNvPr id="4" name="Picture 3" descr="Image result for upr logo">
          <a:extLst>
            <a:ext uri="{FF2B5EF4-FFF2-40B4-BE49-F238E27FC236}">
              <a16:creationId xmlns:a16="http://schemas.microsoft.com/office/drawing/2014/main" id="{D67CF223-6346-4D00-A765-12B54DB04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7987" y="17342922"/>
          <a:ext cx="2032800" cy="1182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643246</xdr:colOff>
      <xdr:row>97</xdr:row>
      <xdr:rowOff>107208</xdr:rowOff>
    </xdr:from>
    <xdr:to>
      <xdr:col>7</xdr:col>
      <xdr:colOff>1409227</xdr:colOff>
      <xdr:row>101</xdr:row>
      <xdr:rowOff>170882</xdr:rowOff>
    </xdr:to>
    <xdr:pic>
      <xdr:nvPicPr>
        <xdr:cNvPr id="5" name="Picture 4" descr="Image result for UPRM">
          <a:extLst>
            <a:ext uri="{FF2B5EF4-FFF2-40B4-BE49-F238E27FC236}">
              <a16:creationId xmlns:a16="http://schemas.microsoft.com/office/drawing/2014/main" id="{E6F96801-7F43-40A7-A3D3-ECF4DF669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1493" y="17499611"/>
          <a:ext cx="765981" cy="789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6"/>
  <sheetViews>
    <sheetView tabSelected="1" zoomScale="69" zoomScaleNormal="69" workbookViewId="0">
      <pane ySplit="14" topLeftCell="A15" activePane="bottomLeft" state="frozen"/>
      <selection pane="bottomLeft" activeCell="I64" sqref="I64:I65"/>
    </sheetView>
  </sheetViews>
  <sheetFormatPr defaultRowHeight="14.5" x14ac:dyDescent="0.35"/>
  <cols>
    <col min="1" max="1" width="73.81640625" customWidth="1"/>
    <col min="2" max="2" width="11.54296875" bestFit="1" customWidth="1"/>
    <col min="3" max="3" width="11.6328125" customWidth="1"/>
    <col min="4" max="4" width="13" customWidth="1"/>
    <col min="5" max="6" width="13.453125" customWidth="1"/>
    <col min="7" max="7" width="14.1796875" customWidth="1"/>
    <col min="8" max="8" width="12.7265625" customWidth="1"/>
    <col min="9" max="9" width="12.08984375" bestFit="1" customWidth="1"/>
    <col min="10" max="10" width="13.54296875" customWidth="1"/>
    <col min="11" max="11" width="11" customWidth="1"/>
  </cols>
  <sheetData>
    <row r="1" spans="1:11" ht="15.5" x14ac:dyDescent="0.35">
      <c r="A1" s="283" t="s">
        <v>103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ht="15.5" x14ac:dyDescent="0.35">
      <c r="A2" s="283" t="s">
        <v>104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</row>
    <row r="3" spans="1:11" ht="15.5" x14ac:dyDescent="0.35">
      <c r="A3" s="283" t="s">
        <v>105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</row>
    <row r="4" spans="1:11" ht="15.5" x14ac:dyDescent="0.35">
      <c r="A4" s="199"/>
      <c r="B4" s="199"/>
      <c r="C4" s="199"/>
      <c r="D4" s="199"/>
      <c r="E4" s="199"/>
      <c r="F4" s="199"/>
      <c r="G4" s="26"/>
      <c r="H4" s="26"/>
      <c r="I4" s="26"/>
    </row>
    <row r="5" spans="1:11" ht="15.5" x14ac:dyDescent="0.35">
      <c r="A5" s="283" t="s">
        <v>142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</row>
    <row r="6" spans="1:11" ht="15.5" x14ac:dyDescent="0.35">
      <c r="A6" s="283" t="s">
        <v>143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</row>
    <row r="7" spans="1:11" ht="18.5" x14ac:dyDescent="0.35">
      <c r="A7" s="275" t="s">
        <v>131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</row>
    <row r="8" spans="1:11" ht="15.5" x14ac:dyDescent="0.35">
      <c r="A8" s="200"/>
      <c r="B8" s="200"/>
      <c r="C8" s="200"/>
      <c r="D8" s="200"/>
      <c r="E8" s="200"/>
      <c r="F8" s="200"/>
      <c r="G8" s="26"/>
      <c r="H8" s="26"/>
      <c r="I8" s="26"/>
    </row>
    <row r="9" spans="1:11" ht="15.5" x14ac:dyDescent="0.35">
      <c r="A9" s="276" t="s">
        <v>106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spans="1:11" ht="18" customHeight="1" x14ac:dyDescent="0.35"/>
    <row r="11" spans="1:11" ht="12" customHeight="1" thickBot="1" x14ac:dyDescent="0.4">
      <c r="A11" s="130"/>
      <c r="B11" s="130"/>
      <c r="C11" s="130"/>
      <c r="D11" s="130"/>
      <c r="E11" s="130"/>
      <c r="F11" s="130"/>
      <c r="G11" s="130"/>
      <c r="H11" s="1"/>
      <c r="I11" s="1"/>
      <c r="J11" s="1"/>
    </row>
    <row r="12" spans="1:11" ht="20.25" customHeight="1" thickBot="1" x14ac:dyDescent="0.4">
      <c r="A12" s="25"/>
      <c r="B12" s="26"/>
      <c r="C12" s="26"/>
      <c r="D12" s="27" t="s">
        <v>28</v>
      </c>
      <c r="E12" s="28"/>
      <c r="F12" s="27" t="s">
        <v>29</v>
      </c>
      <c r="G12" s="28"/>
      <c r="H12" s="27" t="s">
        <v>30</v>
      </c>
      <c r="I12" s="28"/>
      <c r="J12" s="27" t="s">
        <v>31</v>
      </c>
      <c r="K12" s="29" t="s">
        <v>37</v>
      </c>
    </row>
    <row r="13" spans="1:11" ht="15.5" x14ac:dyDescent="0.35">
      <c r="A13" s="30" t="s">
        <v>2</v>
      </c>
      <c r="B13" s="31" t="s">
        <v>0</v>
      </c>
      <c r="C13" s="32" t="s">
        <v>22</v>
      </c>
      <c r="D13" s="33" t="s">
        <v>0</v>
      </c>
      <c r="E13" s="33" t="s">
        <v>23</v>
      </c>
      <c r="F13" s="33" t="s">
        <v>0</v>
      </c>
      <c r="G13" s="33" t="s">
        <v>23</v>
      </c>
      <c r="H13" s="34" t="s">
        <v>0</v>
      </c>
      <c r="I13" s="35" t="s">
        <v>23</v>
      </c>
      <c r="J13" s="36" t="s">
        <v>23</v>
      </c>
      <c r="K13" s="37" t="s">
        <v>22</v>
      </c>
    </row>
    <row r="14" spans="1:11" ht="14.15" customHeight="1" thickBot="1" x14ac:dyDescent="0.4">
      <c r="A14" s="38"/>
      <c r="B14" s="39"/>
      <c r="C14" s="40" t="s">
        <v>0</v>
      </c>
      <c r="D14" s="41" t="s">
        <v>1</v>
      </c>
      <c r="E14" s="42"/>
      <c r="F14" s="41" t="s">
        <v>1</v>
      </c>
      <c r="G14" s="42" t="s">
        <v>19</v>
      </c>
      <c r="H14" s="41" t="s">
        <v>1</v>
      </c>
      <c r="I14" s="43" t="s">
        <v>19</v>
      </c>
      <c r="J14" s="44" t="s">
        <v>27</v>
      </c>
      <c r="K14" s="45" t="s">
        <v>21</v>
      </c>
    </row>
    <row r="15" spans="1:11" ht="16" thickBot="1" x14ac:dyDescent="0.4">
      <c r="A15" s="46" t="s">
        <v>3</v>
      </c>
      <c r="B15" s="47"/>
      <c r="C15" s="48"/>
      <c r="D15" s="49"/>
      <c r="E15" s="48"/>
      <c r="F15" s="50"/>
      <c r="G15" s="51" t="s">
        <v>19</v>
      </c>
      <c r="H15" s="51" t="s">
        <v>19</v>
      </c>
      <c r="I15" s="52"/>
      <c r="J15" s="52"/>
      <c r="K15" s="53"/>
    </row>
    <row r="16" spans="1:11" ht="15.5" x14ac:dyDescent="0.35">
      <c r="A16" s="54" t="s">
        <v>45</v>
      </c>
      <c r="B16" s="55" t="s">
        <v>11</v>
      </c>
      <c r="C16" s="211">
        <v>7.25</v>
      </c>
      <c r="D16" s="212">
        <v>120</v>
      </c>
      <c r="E16" s="56">
        <f>+C16*D16</f>
        <v>870</v>
      </c>
      <c r="F16" s="216">
        <v>0</v>
      </c>
      <c r="G16" s="57">
        <f>+F16*C16</f>
        <v>0</v>
      </c>
      <c r="H16" s="219">
        <v>0</v>
      </c>
      <c r="I16" s="58">
        <f>+C16*H16</f>
        <v>0</v>
      </c>
      <c r="J16" s="59">
        <f t="shared" ref="J16:J31" si="0">+E16+G16+I16</f>
        <v>870</v>
      </c>
      <c r="K16" s="60">
        <f>+J16/1500</f>
        <v>0.57999999999999996</v>
      </c>
    </row>
    <row r="17" spans="1:11" ht="16" customHeight="1" x14ac:dyDescent="0.35">
      <c r="A17" s="61" t="s">
        <v>41</v>
      </c>
      <c r="B17" s="55" t="s">
        <v>11</v>
      </c>
      <c r="C17" s="211">
        <v>7.25</v>
      </c>
      <c r="D17" s="213">
        <v>20</v>
      </c>
      <c r="E17" s="56">
        <f t="shared" ref="E17:E29" si="1">+C17*D17</f>
        <v>145</v>
      </c>
      <c r="F17" s="216">
        <v>0</v>
      </c>
      <c r="G17" s="57">
        <f t="shared" ref="G17:G29" si="2">+F17*C17</f>
        <v>0</v>
      </c>
      <c r="H17" s="220">
        <v>0</v>
      </c>
      <c r="I17" s="58">
        <f t="shared" ref="I17:I29" si="3">+C17*H17</f>
        <v>0</v>
      </c>
      <c r="J17" s="59">
        <f t="shared" si="0"/>
        <v>145</v>
      </c>
      <c r="K17" s="60">
        <f t="shared" ref="K17:K31" si="4">+J17/1500</f>
        <v>9.6666666666666665E-2</v>
      </c>
    </row>
    <row r="18" spans="1:11" ht="16" customHeight="1" x14ac:dyDescent="0.35">
      <c r="A18" s="62" t="s">
        <v>42</v>
      </c>
      <c r="B18" s="55" t="s">
        <v>11</v>
      </c>
      <c r="C18" s="211">
        <v>7.25</v>
      </c>
      <c r="D18" s="213">
        <v>11</v>
      </c>
      <c r="E18" s="56">
        <f t="shared" si="1"/>
        <v>79.75</v>
      </c>
      <c r="F18" s="216"/>
      <c r="G18" s="57">
        <f t="shared" si="2"/>
        <v>0</v>
      </c>
      <c r="H18" s="220">
        <v>0</v>
      </c>
      <c r="I18" s="58">
        <f t="shared" si="3"/>
        <v>0</v>
      </c>
      <c r="J18" s="59">
        <f t="shared" si="0"/>
        <v>79.75</v>
      </c>
      <c r="K18" s="60">
        <f t="shared" si="4"/>
        <v>5.3166666666666668E-2</v>
      </c>
    </row>
    <row r="19" spans="1:11" ht="16" customHeight="1" x14ac:dyDescent="0.35">
      <c r="A19" s="61" t="s">
        <v>43</v>
      </c>
      <c r="B19" s="55" t="s">
        <v>11</v>
      </c>
      <c r="C19" s="211">
        <v>7.25</v>
      </c>
      <c r="D19" s="213">
        <v>100</v>
      </c>
      <c r="E19" s="56">
        <f t="shared" si="1"/>
        <v>725</v>
      </c>
      <c r="F19" s="216"/>
      <c r="G19" s="57">
        <f t="shared" si="2"/>
        <v>0</v>
      </c>
      <c r="H19" s="220">
        <v>0</v>
      </c>
      <c r="I19" s="58">
        <f t="shared" si="3"/>
        <v>0</v>
      </c>
      <c r="J19" s="59">
        <f t="shared" si="0"/>
        <v>725</v>
      </c>
      <c r="K19" s="60">
        <f t="shared" si="4"/>
        <v>0.48333333333333334</v>
      </c>
    </row>
    <row r="20" spans="1:11" ht="16" customHeight="1" x14ac:dyDescent="0.35">
      <c r="A20" s="61" t="s">
        <v>33</v>
      </c>
      <c r="B20" s="55" t="s">
        <v>11</v>
      </c>
      <c r="C20" s="211">
        <v>7.25</v>
      </c>
      <c r="D20" s="213">
        <v>10</v>
      </c>
      <c r="E20" s="56">
        <f t="shared" si="1"/>
        <v>72.5</v>
      </c>
      <c r="F20" s="216"/>
      <c r="G20" s="57">
        <f t="shared" si="2"/>
        <v>0</v>
      </c>
      <c r="H20" s="220">
        <v>0</v>
      </c>
      <c r="I20" s="58">
        <f t="shared" si="3"/>
        <v>0</v>
      </c>
      <c r="J20" s="59">
        <f t="shared" si="0"/>
        <v>72.5</v>
      </c>
      <c r="K20" s="60">
        <f t="shared" si="4"/>
        <v>4.8333333333333332E-2</v>
      </c>
    </row>
    <row r="21" spans="1:11" ht="16" customHeight="1" x14ac:dyDescent="0.35">
      <c r="A21" s="61" t="s">
        <v>32</v>
      </c>
      <c r="B21" s="55" t="s">
        <v>11</v>
      </c>
      <c r="C21" s="211">
        <v>7.25</v>
      </c>
      <c r="D21" s="213">
        <v>68</v>
      </c>
      <c r="E21" s="56">
        <f t="shared" si="1"/>
        <v>493</v>
      </c>
      <c r="F21" s="216"/>
      <c r="G21" s="57">
        <f t="shared" si="2"/>
        <v>0</v>
      </c>
      <c r="H21" s="220">
        <v>0</v>
      </c>
      <c r="I21" s="58">
        <f t="shared" si="3"/>
        <v>0</v>
      </c>
      <c r="J21" s="59">
        <f t="shared" si="0"/>
        <v>493</v>
      </c>
      <c r="K21" s="60">
        <f t="shared" si="4"/>
        <v>0.32866666666666666</v>
      </c>
    </row>
    <row r="22" spans="1:11" ht="16" customHeight="1" x14ac:dyDescent="0.35">
      <c r="A22" s="63" t="s">
        <v>4</v>
      </c>
      <c r="B22" s="55" t="s">
        <v>11</v>
      </c>
      <c r="C22" s="211">
        <v>7.25</v>
      </c>
      <c r="D22" s="214">
        <v>24</v>
      </c>
      <c r="E22" s="56">
        <f t="shared" si="1"/>
        <v>174</v>
      </c>
      <c r="F22" s="217">
        <v>24</v>
      </c>
      <c r="G22" s="57">
        <f t="shared" si="2"/>
        <v>174</v>
      </c>
      <c r="H22" s="221">
        <v>24</v>
      </c>
      <c r="I22" s="58">
        <f t="shared" si="3"/>
        <v>174</v>
      </c>
      <c r="J22" s="59">
        <f t="shared" si="0"/>
        <v>522</v>
      </c>
      <c r="K22" s="60">
        <f t="shared" si="4"/>
        <v>0.34799999999999998</v>
      </c>
    </row>
    <row r="23" spans="1:11" ht="16" customHeight="1" x14ac:dyDescent="0.35">
      <c r="A23" s="63" t="s">
        <v>132</v>
      </c>
      <c r="B23" s="55" t="s">
        <v>11</v>
      </c>
      <c r="C23" s="211">
        <v>7.25</v>
      </c>
      <c r="D23" s="214">
        <v>8</v>
      </c>
      <c r="E23" s="56">
        <f t="shared" si="1"/>
        <v>58</v>
      </c>
      <c r="F23" s="217">
        <v>0</v>
      </c>
      <c r="G23" s="57">
        <f t="shared" si="2"/>
        <v>0</v>
      </c>
      <c r="H23" s="221">
        <f t="shared" ref="H23" si="5">+F23/1500</f>
        <v>0</v>
      </c>
      <c r="I23" s="58">
        <f t="shared" si="3"/>
        <v>0</v>
      </c>
      <c r="J23" s="59">
        <f t="shared" si="0"/>
        <v>58</v>
      </c>
      <c r="K23" s="60">
        <f t="shared" si="4"/>
        <v>3.8666666666666669E-2</v>
      </c>
    </row>
    <row r="24" spans="1:11" ht="14.15" customHeight="1" x14ac:dyDescent="0.35">
      <c r="A24" s="63" t="s">
        <v>34</v>
      </c>
      <c r="B24" s="55" t="s">
        <v>11</v>
      </c>
      <c r="C24" s="211">
        <v>7.25</v>
      </c>
      <c r="D24" s="214">
        <v>8</v>
      </c>
      <c r="E24" s="56">
        <f t="shared" si="1"/>
        <v>58</v>
      </c>
      <c r="F24" s="217">
        <v>0</v>
      </c>
      <c r="G24" s="57">
        <f t="shared" si="2"/>
        <v>0</v>
      </c>
      <c r="H24" s="221">
        <v>0</v>
      </c>
      <c r="I24" s="58">
        <f t="shared" si="3"/>
        <v>0</v>
      </c>
      <c r="J24" s="59">
        <f t="shared" si="0"/>
        <v>58</v>
      </c>
      <c r="K24" s="60">
        <f t="shared" si="4"/>
        <v>3.8666666666666669E-2</v>
      </c>
    </row>
    <row r="25" spans="1:11" ht="14.15" customHeight="1" x14ac:dyDescent="0.35">
      <c r="A25" s="64" t="s">
        <v>5</v>
      </c>
      <c r="B25" s="65" t="s">
        <v>11</v>
      </c>
      <c r="C25" s="211">
        <v>7.25</v>
      </c>
      <c r="D25" s="214">
        <v>8</v>
      </c>
      <c r="E25" s="56">
        <f t="shared" si="1"/>
        <v>58</v>
      </c>
      <c r="F25" s="217">
        <v>8</v>
      </c>
      <c r="G25" s="57">
        <f t="shared" si="2"/>
        <v>58</v>
      </c>
      <c r="H25" s="221">
        <v>8</v>
      </c>
      <c r="I25" s="58">
        <f t="shared" si="3"/>
        <v>58</v>
      </c>
      <c r="J25" s="59">
        <f t="shared" si="0"/>
        <v>174</v>
      </c>
      <c r="K25" s="60">
        <f t="shared" si="4"/>
        <v>0.11600000000000001</v>
      </c>
    </row>
    <row r="26" spans="1:11" ht="14.15" customHeight="1" x14ac:dyDescent="0.35">
      <c r="A26" s="64" t="s">
        <v>44</v>
      </c>
      <c r="B26" s="65" t="s">
        <v>11</v>
      </c>
      <c r="C26" s="211">
        <v>7.25</v>
      </c>
      <c r="D26" s="214">
        <v>15</v>
      </c>
      <c r="E26" s="56">
        <f t="shared" si="1"/>
        <v>108.75</v>
      </c>
      <c r="F26" s="217">
        <v>15</v>
      </c>
      <c r="G26" s="57">
        <f t="shared" si="2"/>
        <v>108.75</v>
      </c>
      <c r="H26" s="221">
        <v>15</v>
      </c>
      <c r="I26" s="58">
        <f t="shared" si="3"/>
        <v>108.75</v>
      </c>
      <c r="J26" s="59">
        <f t="shared" si="0"/>
        <v>326.25</v>
      </c>
      <c r="K26" s="60">
        <f t="shared" si="4"/>
        <v>0.2175</v>
      </c>
    </row>
    <row r="27" spans="1:11" ht="14.15" customHeight="1" x14ac:dyDescent="0.35">
      <c r="A27" s="66" t="s">
        <v>6</v>
      </c>
      <c r="B27" s="67" t="s">
        <v>11</v>
      </c>
      <c r="C27" s="211">
        <v>7.25</v>
      </c>
      <c r="D27" s="214">
        <v>28</v>
      </c>
      <c r="E27" s="56">
        <f t="shared" si="1"/>
        <v>203</v>
      </c>
      <c r="F27" s="217">
        <v>28</v>
      </c>
      <c r="G27" s="57">
        <f t="shared" si="2"/>
        <v>203</v>
      </c>
      <c r="H27" s="221">
        <v>28</v>
      </c>
      <c r="I27" s="58">
        <f t="shared" si="3"/>
        <v>203</v>
      </c>
      <c r="J27" s="59">
        <f t="shared" si="0"/>
        <v>609</v>
      </c>
      <c r="K27" s="60">
        <f t="shared" si="4"/>
        <v>0.40600000000000003</v>
      </c>
    </row>
    <row r="28" spans="1:11" ht="14.15" customHeight="1" x14ac:dyDescent="0.35">
      <c r="A28" s="66" t="s">
        <v>51</v>
      </c>
      <c r="B28" s="67" t="s">
        <v>11</v>
      </c>
      <c r="C28" s="211">
        <v>7.25</v>
      </c>
      <c r="D28" s="215">
        <v>0</v>
      </c>
      <c r="E28" s="56">
        <f t="shared" si="1"/>
        <v>0</v>
      </c>
      <c r="F28" s="217">
        <v>13</v>
      </c>
      <c r="G28" s="57">
        <f t="shared" si="2"/>
        <v>94.25</v>
      </c>
      <c r="H28" s="221">
        <v>13</v>
      </c>
      <c r="I28" s="58">
        <f t="shared" si="3"/>
        <v>94.25</v>
      </c>
      <c r="J28" s="59">
        <f t="shared" si="0"/>
        <v>188.5</v>
      </c>
      <c r="K28" s="60">
        <f t="shared" si="4"/>
        <v>0.12566666666666668</v>
      </c>
    </row>
    <row r="29" spans="1:11" ht="14.15" customHeight="1" x14ac:dyDescent="0.35">
      <c r="A29" s="66" t="s">
        <v>109</v>
      </c>
      <c r="B29" s="67" t="s">
        <v>11</v>
      </c>
      <c r="C29" s="211">
        <v>7.25</v>
      </c>
      <c r="D29" s="215">
        <v>0</v>
      </c>
      <c r="E29" s="56">
        <f t="shared" si="1"/>
        <v>0</v>
      </c>
      <c r="F29" s="217">
        <v>5</v>
      </c>
      <c r="G29" s="57">
        <f t="shared" si="2"/>
        <v>36.25</v>
      </c>
      <c r="H29" s="221">
        <v>5</v>
      </c>
      <c r="I29" s="58">
        <f t="shared" si="3"/>
        <v>36.25</v>
      </c>
      <c r="J29" s="59">
        <f t="shared" si="0"/>
        <v>72.5</v>
      </c>
      <c r="K29" s="60">
        <f t="shared" si="4"/>
        <v>4.8333333333333332E-2</v>
      </c>
    </row>
    <row r="30" spans="1:11" ht="18.5" x14ac:dyDescent="0.35">
      <c r="A30" s="62" t="s">
        <v>107</v>
      </c>
      <c r="B30" s="67" t="s">
        <v>11</v>
      </c>
      <c r="C30" s="68"/>
      <c r="D30" s="215">
        <f>SUM(D16:D29)</f>
        <v>420</v>
      </c>
      <c r="E30" s="56">
        <f>(D30*7.25)*20%</f>
        <v>609</v>
      </c>
      <c r="F30" s="218">
        <f>SUM(F16:F29)</f>
        <v>93</v>
      </c>
      <c r="G30" s="57">
        <f>(F30*7.25)*20%</f>
        <v>134.85</v>
      </c>
      <c r="H30" s="221">
        <f>SUM(H16:H29)</f>
        <v>93</v>
      </c>
      <c r="I30" s="58">
        <f>(H30*7.25)*20%</f>
        <v>134.85</v>
      </c>
      <c r="J30" s="59">
        <f>+E30+G30+I30</f>
        <v>878.7</v>
      </c>
      <c r="K30" s="60">
        <f t="shared" si="4"/>
        <v>0.58579999999999999</v>
      </c>
    </row>
    <row r="31" spans="1:11" ht="14.15" customHeight="1" x14ac:dyDescent="0.35">
      <c r="A31" s="69" t="s">
        <v>133</v>
      </c>
      <c r="B31" s="70"/>
      <c r="C31" s="70"/>
      <c r="D31" s="70"/>
      <c r="E31" s="71">
        <f>SUM(E16:E30)</f>
        <v>3654</v>
      </c>
      <c r="F31" s="72"/>
      <c r="G31" s="73">
        <f>SUM(G16:G30)</f>
        <v>809.1</v>
      </c>
      <c r="H31" s="74">
        <f>+F31/1500</f>
        <v>0</v>
      </c>
      <c r="I31" s="75">
        <f>SUM(I16:I30)</f>
        <v>809.1</v>
      </c>
      <c r="J31" s="76">
        <f t="shared" si="0"/>
        <v>5272.2000000000007</v>
      </c>
      <c r="K31" s="77">
        <f t="shared" si="4"/>
        <v>3.5148000000000006</v>
      </c>
    </row>
    <row r="32" spans="1:11" ht="14.15" customHeight="1" x14ac:dyDescent="0.35">
      <c r="A32" s="277"/>
      <c r="B32" s="278"/>
      <c r="C32" s="278"/>
      <c r="D32" s="278"/>
      <c r="E32" s="278"/>
      <c r="F32" s="278"/>
      <c r="G32" s="278"/>
      <c r="H32" s="278"/>
      <c r="I32" s="278"/>
      <c r="J32" s="278"/>
      <c r="K32" s="279"/>
    </row>
    <row r="33" spans="1:13" ht="14.15" customHeight="1" x14ac:dyDescent="0.35">
      <c r="A33" s="78" t="s">
        <v>52</v>
      </c>
      <c r="B33" s="79"/>
      <c r="C33" s="79"/>
      <c r="D33" s="79"/>
      <c r="E33" s="79"/>
      <c r="F33" s="80"/>
      <c r="G33" s="68" t="s">
        <v>19</v>
      </c>
      <c r="H33" s="81" t="s">
        <v>19</v>
      </c>
      <c r="I33" s="82"/>
      <c r="J33" s="83"/>
      <c r="K33" s="84"/>
    </row>
    <row r="34" spans="1:13" ht="14.15" customHeight="1" x14ac:dyDescent="0.35">
      <c r="A34" s="85" t="s">
        <v>53</v>
      </c>
      <c r="B34" s="86" t="s">
        <v>20</v>
      </c>
      <c r="C34" s="222">
        <v>7.25</v>
      </c>
      <c r="D34" s="223">
        <v>0</v>
      </c>
      <c r="E34" s="87">
        <f>+C34*D34</f>
        <v>0</v>
      </c>
      <c r="F34" s="217">
        <v>77</v>
      </c>
      <c r="G34" s="88">
        <f>+C34*F34</f>
        <v>558.25</v>
      </c>
      <c r="H34" s="221">
        <v>154</v>
      </c>
      <c r="I34" s="82">
        <f>+C34*H34</f>
        <v>1116.5</v>
      </c>
      <c r="J34" s="90">
        <f>+G34+I34</f>
        <v>1674.75</v>
      </c>
      <c r="K34" s="84">
        <f>+J34/1500</f>
        <v>1.1165</v>
      </c>
    </row>
    <row r="35" spans="1:13" ht="14.15" customHeight="1" x14ac:dyDescent="0.35">
      <c r="A35" s="85" t="s">
        <v>54</v>
      </c>
      <c r="B35" s="86" t="s">
        <v>20</v>
      </c>
      <c r="C35" s="222">
        <v>5.4</v>
      </c>
      <c r="D35" s="223">
        <v>0</v>
      </c>
      <c r="E35" s="87">
        <f>+C35*D35</f>
        <v>0</v>
      </c>
      <c r="F35" s="217">
        <v>22</v>
      </c>
      <c r="G35" s="88">
        <f t="shared" ref="G35" si="6">+C35*F35</f>
        <v>118.80000000000001</v>
      </c>
      <c r="H35" s="221">
        <v>66</v>
      </c>
      <c r="I35" s="82">
        <f>+C35*H35</f>
        <v>356.40000000000003</v>
      </c>
      <c r="J35" s="90">
        <f>+G35+I35</f>
        <v>475.20000000000005</v>
      </c>
      <c r="K35" s="84">
        <f t="shared" ref="K35:K36" si="7">+J35/1500</f>
        <v>0.31680000000000003</v>
      </c>
    </row>
    <row r="36" spans="1:13" ht="18.5" x14ac:dyDescent="0.35">
      <c r="A36" s="85" t="s">
        <v>108</v>
      </c>
      <c r="B36" s="86" t="s">
        <v>19</v>
      </c>
      <c r="C36" s="91" t="s">
        <v>19</v>
      </c>
      <c r="D36" s="86" t="s">
        <v>19</v>
      </c>
      <c r="E36" s="87" t="s">
        <v>19</v>
      </c>
      <c r="F36" s="80">
        <v>0</v>
      </c>
      <c r="G36" s="88">
        <f>+(G34+C35)*0.16</f>
        <v>90.183999999999997</v>
      </c>
      <c r="H36" s="89" t="s">
        <v>48</v>
      </c>
      <c r="I36" s="82">
        <f>+(I34+I35)*0.16</f>
        <v>235.66400000000002</v>
      </c>
      <c r="J36" s="90">
        <f>+G36+I36</f>
        <v>325.84800000000001</v>
      </c>
      <c r="K36" s="82">
        <f t="shared" si="7"/>
        <v>0.21723200000000001</v>
      </c>
    </row>
    <row r="37" spans="1:13" ht="18.5" x14ac:dyDescent="0.35">
      <c r="A37" s="69" t="s">
        <v>115</v>
      </c>
      <c r="B37" s="70"/>
      <c r="C37" s="70"/>
      <c r="D37" s="70"/>
      <c r="E37" s="70"/>
      <c r="F37" s="72" t="s">
        <v>19</v>
      </c>
      <c r="G37" s="73">
        <f>SUM(G34:G36)</f>
        <v>767.23399999999992</v>
      </c>
      <c r="H37" s="81"/>
      <c r="I37" s="75">
        <f>SUM(I34:I36)</f>
        <v>1708.5640000000001</v>
      </c>
      <c r="J37" s="92">
        <f>+G37+I37</f>
        <v>2475.7979999999998</v>
      </c>
      <c r="K37" s="77">
        <f>+J37/1500</f>
        <v>1.6505319999999999</v>
      </c>
    </row>
    <row r="38" spans="1:13" ht="14.15" customHeight="1" x14ac:dyDescent="0.35">
      <c r="A38" s="277"/>
      <c r="B38" s="278"/>
      <c r="C38" s="278"/>
      <c r="D38" s="278"/>
      <c r="E38" s="278"/>
      <c r="F38" s="278"/>
      <c r="G38" s="278"/>
      <c r="H38" s="278"/>
      <c r="I38" s="278"/>
      <c r="J38" s="278"/>
      <c r="K38" s="279"/>
    </row>
    <row r="39" spans="1:13" ht="18.5" x14ac:dyDescent="0.35">
      <c r="A39" s="272" t="s">
        <v>110</v>
      </c>
      <c r="B39" s="273"/>
      <c r="C39" s="273"/>
      <c r="D39" s="273"/>
      <c r="E39" s="273"/>
      <c r="F39" s="273"/>
      <c r="G39" s="273"/>
      <c r="H39" s="273"/>
      <c r="I39" s="273"/>
      <c r="J39" s="273"/>
      <c r="K39" s="274"/>
    </row>
    <row r="40" spans="1:13" ht="14.15" customHeight="1" x14ac:dyDescent="0.35">
      <c r="A40" s="62" t="s">
        <v>134</v>
      </c>
      <c r="B40" s="86" t="s">
        <v>36</v>
      </c>
      <c r="C40" s="224">
        <v>0.75</v>
      </c>
      <c r="D40" s="213">
        <v>1650</v>
      </c>
      <c r="E40" s="100">
        <f>+C40*D40</f>
        <v>1237.5</v>
      </c>
      <c r="F40" s="218"/>
      <c r="G40" s="97"/>
      <c r="H40" s="229"/>
      <c r="I40" s="82"/>
      <c r="J40" s="83"/>
      <c r="K40" s="99"/>
    </row>
    <row r="41" spans="1:13" ht="16" customHeight="1" x14ac:dyDescent="0.35">
      <c r="A41" s="63" t="s">
        <v>7</v>
      </c>
      <c r="B41" s="55" t="s">
        <v>12</v>
      </c>
      <c r="C41" s="225">
        <v>36</v>
      </c>
      <c r="D41" s="226">
        <v>11.25</v>
      </c>
      <c r="E41" s="100">
        <f t="shared" ref="E41:E48" si="8">+C41*D41</f>
        <v>405</v>
      </c>
      <c r="F41" s="217">
        <v>18.75</v>
      </c>
      <c r="G41" s="101">
        <f>+C41*F41</f>
        <v>675</v>
      </c>
      <c r="H41" s="221">
        <v>23</v>
      </c>
      <c r="I41" s="82">
        <f>+C41*H41</f>
        <v>828</v>
      </c>
      <c r="J41" s="90">
        <f t="shared" ref="J41:J49" si="9">+E41+G41+I41</f>
        <v>1908</v>
      </c>
      <c r="K41" s="84">
        <f>+J41/1500</f>
        <v>1.272</v>
      </c>
    </row>
    <row r="42" spans="1:13" ht="16" customHeight="1" x14ac:dyDescent="0.35">
      <c r="A42" s="63" t="s">
        <v>50</v>
      </c>
      <c r="B42" s="55" t="s">
        <v>18</v>
      </c>
      <c r="C42" s="225">
        <v>18</v>
      </c>
      <c r="D42" s="227">
        <v>2</v>
      </c>
      <c r="E42" s="100">
        <f t="shared" si="8"/>
        <v>36</v>
      </c>
      <c r="F42" s="217" t="s">
        <v>38</v>
      </c>
      <c r="G42" s="101">
        <f t="shared" ref="G42:G48" si="10">+C42*F42</f>
        <v>0</v>
      </c>
      <c r="H42" s="221">
        <v>0</v>
      </c>
      <c r="I42" s="82">
        <f t="shared" ref="I42:I48" si="11">+C42*H42</f>
        <v>0</v>
      </c>
      <c r="J42" s="90">
        <f t="shared" si="9"/>
        <v>36</v>
      </c>
      <c r="K42" s="84">
        <f t="shared" ref="K42:K49" si="12">+J42/1500</f>
        <v>2.4E-2</v>
      </c>
      <c r="L42" s="1"/>
      <c r="M42" s="1"/>
    </row>
    <row r="43" spans="1:13" ht="14.15" customHeight="1" x14ac:dyDescent="0.35">
      <c r="A43" s="63" t="s">
        <v>35</v>
      </c>
      <c r="B43" s="55" t="s">
        <v>12</v>
      </c>
      <c r="C43" s="225">
        <v>55</v>
      </c>
      <c r="D43" s="227">
        <v>7.5</v>
      </c>
      <c r="E43" s="100">
        <f t="shared" si="8"/>
        <v>412.5</v>
      </c>
      <c r="F43" s="217">
        <v>0</v>
      </c>
      <c r="G43" s="101">
        <f t="shared" si="10"/>
        <v>0</v>
      </c>
      <c r="H43" s="221">
        <v>0</v>
      </c>
      <c r="I43" s="82">
        <f t="shared" si="11"/>
        <v>0</v>
      </c>
      <c r="J43" s="90">
        <f t="shared" si="9"/>
        <v>412.5</v>
      </c>
      <c r="K43" s="84">
        <f t="shared" si="12"/>
        <v>0.27500000000000002</v>
      </c>
    </row>
    <row r="44" spans="1:13" ht="14.15" customHeight="1" x14ac:dyDescent="0.35">
      <c r="A44" s="64" t="s">
        <v>49</v>
      </c>
      <c r="B44" s="55" t="s">
        <v>13</v>
      </c>
      <c r="C44" s="228">
        <v>0.94</v>
      </c>
      <c r="D44" s="215">
        <v>14</v>
      </c>
      <c r="E44" s="100">
        <f t="shared" si="8"/>
        <v>13.16</v>
      </c>
      <c r="F44" s="217">
        <v>14</v>
      </c>
      <c r="G44" s="101">
        <f t="shared" si="10"/>
        <v>13.16</v>
      </c>
      <c r="H44" s="221">
        <v>14</v>
      </c>
      <c r="I44" s="82">
        <f t="shared" si="11"/>
        <v>13.16</v>
      </c>
      <c r="J44" s="90">
        <f t="shared" si="9"/>
        <v>39.480000000000004</v>
      </c>
      <c r="K44" s="84">
        <f t="shared" si="12"/>
        <v>2.6320000000000003E-2</v>
      </c>
    </row>
    <row r="45" spans="1:13" ht="14.15" customHeight="1" x14ac:dyDescent="0.35">
      <c r="A45" s="64" t="s">
        <v>8</v>
      </c>
      <c r="B45" s="102" t="s">
        <v>14</v>
      </c>
      <c r="C45" s="225">
        <v>7.25</v>
      </c>
      <c r="D45" s="215">
        <v>8</v>
      </c>
      <c r="E45" s="100">
        <f t="shared" si="8"/>
        <v>58</v>
      </c>
      <c r="F45" s="217">
        <v>8</v>
      </c>
      <c r="G45" s="101">
        <f t="shared" si="10"/>
        <v>58</v>
      </c>
      <c r="H45" s="221">
        <v>8</v>
      </c>
      <c r="I45" s="82">
        <f t="shared" si="11"/>
        <v>58</v>
      </c>
      <c r="J45" s="90">
        <f t="shared" si="9"/>
        <v>174</v>
      </c>
      <c r="K45" s="84">
        <f t="shared" si="12"/>
        <v>0.11600000000000001</v>
      </c>
    </row>
    <row r="46" spans="1:13" ht="14.15" customHeight="1" x14ac:dyDescent="0.35">
      <c r="A46" s="63" t="s">
        <v>9</v>
      </c>
      <c r="B46" s="55" t="s">
        <v>15</v>
      </c>
      <c r="C46" s="225">
        <v>65</v>
      </c>
      <c r="D46" s="215">
        <v>1</v>
      </c>
      <c r="E46" s="100">
        <f t="shared" si="8"/>
        <v>65</v>
      </c>
      <c r="F46" s="217">
        <v>1</v>
      </c>
      <c r="G46" s="101">
        <f t="shared" si="10"/>
        <v>65</v>
      </c>
      <c r="H46" s="221">
        <v>1</v>
      </c>
      <c r="I46" s="82">
        <f t="shared" si="11"/>
        <v>65</v>
      </c>
      <c r="J46" s="90">
        <f t="shared" si="9"/>
        <v>195</v>
      </c>
      <c r="K46" s="84">
        <f t="shared" si="12"/>
        <v>0.13</v>
      </c>
    </row>
    <row r="47" spans="1:13" ht="14.15" customHeight="1" x14ac:dyDescent="0.35">
      <c r="A47" s="103" t="s">
        <v>16</v>
      </c>
      <c r="B47" s="55" t="s">
        <v>13</v>
      </c>
      <c r="C47" s="225">
        <v>1.17</v>
      </c>
      <c r="D47" s="213">
        <v>0</v>
      </c>
      <c r="E47" s="100">
        <f t="shared" si="8"/>
        <v>0</v>
      </c>
      <c r="F47" s="217">
        <v>48</v>
      </c>
      <c r="G47" s="101">
        <f t="shared" si="10"/>
        <v>56.16</v>
      </c>
      <c r="H47" s="221">
        <v>48</v>
      </c>
      <c r="I47" s="82">
        <f t="shared" si="11"/>
        <v>56.16</v>
      </c>
      <c r="J47" s="90">
        <f t="shared" si="9"/>
        <v>112.32</v>
      </c>
      <c r="K47" s="84">
        <f t="shared" si="12"/>
        <v>7.4880000000000002E-2</v>
      </c>
    </row>
    <row r="48" spans="1:13" ht="14.15" customHeight="1" x14ac:dyDescent="0.35">
      <c r="A48" s="64" t="s">
        <v>10</v>
      </c>
      <c r="B48" s="55" t="s">
        <v>13</v>
      </c>
      <c r="C48" s="225">
        <v>1.65</v>
      </c>
      <c r="D48" s="215">
        <v>0</v>
      </c>
      <c r="E48" s="100">
        <f t="shared" si="8"/>
        <v>0</v>
      </c>
      <c r="F48" s="217">
        <v>60</v>
      </c>
      <c r="G48" s="101">
        <f t="shared" si="10"/>
        <v>99</v>
      </c>
      <c r="H48" s="221">
        <v>60</v>
      </c>
      <c r="I48" s="82">
        <f t="shared" si="11"/>
        <v>99</v>
      </c>
      <c r="J48" s="90">
        <f t="shared" si="9"/>
        <v>198</v>
      </c>
      <c r="K48" s="84">
        <f t="shared" si="12"/>
        <v>0.13200000000000001</v>
      </c>
    </row>
    <row r="49" spans="1:11" ht="14.15" customHeight="1" x14ac:dyDescent="0.35">
      <c r="A49" s="104" t="s">
        <v>39</v>
      </c>
      <c r="B49" s="105"/>
      <c r="C49" s="68"/>
      <c r="D49" s="106"/>
      <c r="E49" s="107">
        <f>SUM(E40:E48)</f>
        <v>2227.16</v>
      </c>
      <c r="F49" s="108"/>
      <c r="G49" s="107">
        <f>SUM(G40:G48)</f>
        <v>966.31999999999994</v>
      </c>
      <c r="H49" s="74"/>
      <c r="I49" s="107">
        <f>SUM(I40:I48)</f>
        <v>1119.32</v>
      </c>
      <c r="J49" s="92">
        <f t="shared" si="9"/>
        <v>4312.7999999999993</v>
      </c>
      <c r="K49" s="77">
        <f t="shared" si="12"/>
        <v>2.8751999999999995</v>
      </c>
    </row>
    <row r="50" spans="1:11" ht="14.15" customHeight="1" x14ac:dyDescent="0.35">
      <c r="A50" s="280"/>
      <c r="B50" s="281"/>
      <c r="C50" s="281"/>
      <c r="D50" s="281"/>
      <c r="E50" s="281"/>
      <c r="F50" s="281"/>
      <c r="G50" s="281"/>
      <c r="H50" s="281"/>
      <c r="I50" s="281"/>
      <c r="J50" s="281"/>
      <c r="K50" s="282"/>
    </row>
    <row r="51" spans="1:11" ht="14.15" customHeight="1" x14ac:dyDescent="0.35">
      <c r="A51" s="93" t="s">
        <v>17</v>
      </c>
      <c r="B51" s="94"/>
      <c r="C51" s="94"/>
      <c r="D51" s="95"/>
      <c r="E51" s="96"/>
      <c r="F51" s="109"/>
      <c r="G51" s="110"/>
      <c r="H51" s="98"/>
      <c r="I51" s="83"/>
      <c r="J51" s="83"/>
      <c r="K51" s="99"/>
    </row>
    <row r="52" spans="1:11" ht="14.15" customHeight="1" x14ac:dyDescent="0.35">
      <c r="A52" s="111" t="s">
        <v>135</v>
      </c>
      <c r="B52" s="55" t="s">
        <v>24</v>
      </c>
      <c r="C52" s="112">
        <v>9.26</v>
      </c>
      <c r="D52" s="244">
        <v>0</v>
      </c>
      <c r="E52" s="211">
        <f>+C52*D52</f>
        <v>0</v>
      </c>
      <c r="F52" s="217">
        <v>4.5</v>
      </c>
      <c r="G52" s="88">
        <f>+C52*F52</f>
        <v>41.67</v>
      </c>
      <c r="H52" s="221">
        <v>10</v>
      </c>
      <c r="I52" s="90">
        <f>+H52*C52</f>
        <v>92.6</v>
      </c>
      <c r="J52" s="90">
        <f>+E52+G52+I52</f>
        <v>134.26999999999998</v>
      </c>
      <c r="K52" s="84">
        <f>+J52/1500</f>
        <v>8.951333333333332E-2</v>
      </c>
    </row>
    <row r="53" spans="1:11" ht="16" customHeight="1" x14ac:dyDescent="0.35">
      <c r="A53" s="111" t="s">
        <v>136</v>
      </c>
      <c r="B53" s="113" t="s">
        <v>25</v>
      </c>
      <c r="C53" s="114">
        <v>284.39</v>
      </c>
      <c r="D53" s="245">
        <v>0</v>
      </c>
      <c r="E53" s="211">
        <f t="shared" ref="E53" si="13">+C53*D53</f>
        <v>0</v>
      </c>
      <c r="F53" s="231">
        <f>+D53*E53</f>
        <v>0</v>
      </c>
      <c r="G53" s="88">
        <f t="shared" ref="G53" si="14">+C53*F53</f>
        <v>0</v>
      </c>
      <c r="H53" s="221">
        <v>1</v>
      </c>
      <c r="I53" s="90">
        <f t="shared" ref="I53" si="15">+H53*C53</f>
        <v>284.39</v>
      </c>
      <c r="J53" s="90">
        <f>+E53+G53+I53</f>
        <v>284.39</v>
      </c>
      <c r="K53" s="84">
        <f t="shared" ref="K53" si="16">+J53/1500</f>
        <v>0.18959333333333334</v>
      </c>
    </row>
    <row r="54" spans="1:11" ht="18.5" x14ac:dyDescent="0.35">
      <c r="A54" s="115" t="s">
        <v>111</v>
      </c>
      <c r="B54" s="116" t="s">
        <v>19</v>
      </c>
      <c r="C54" s="117"/>
      <c r="D54" s="116" t="s">
        <v>19</v>
      </c>
      <c r="E54" s="211">
        <v>175</v>
      </c>
      <c r="F54" s="232" t="s">
        <v>19</v>
      </c>
      <c r="G54" s="88">
        <v>175</v>
      </c>
      <c r="H54" s="221" t="s">
        <v>19</v>
      </c>
      <c r="I54" s="90">
        <v>175</v>
      </c>
      <c r="J54" s="90">
        <f>+E54+G54+I54</f>
        <v>525</v>
      </c>
      <c r="K54" s="84">
        <f>+J54/1500</f>
        <v>0.35</v>
      </c>
    </row>
    <row r="55" spans="1:11" ht="18.5" x14ac:dyDescent="0.35">
      <c r="A55" s="115" t="s">
        <v>112</v>
      </c>
      <c r="B55" s="116"/>
      <c r="C55" s="117"/>
      <c r="D55" s="234">
        <v>0.1</v>
      </c>
      <c r="E55" s="211">
        <f>(E31+E37)*10%</f>
        <v>365.40000000000003</v>
      </c>
      <c r="F55" s="233">
        <v>0.1</v>
      </c>
      <c r="G55" s="88">
        <f>(G31+G37)*10%</f>
        <v>157.63339999999999</v>
      </c>
      <c r="H55" s="235">
        <v>0.1</v>
      </c>
      <c r="I55" s="90">
        <f>(I31+I37)*10%</f>
        <v>251.76640000000003</v>
      </c>
      <c r="J55" s="90">
        <f>E55+G55+I55</f>
        <v>774.7998</v>
      </c>
      <c r="K55" s="84">
        <f>J55/1500</f>
        <v>0.51653320000000003</v>
      </c>
    </row>
    <row r="56" spans="1:11" ht="15.5" x14ac:dyDescent="0.35">
      <c r="A56" s="115" t="s">
        <v>57</v>
      </c>
      <c r="B56" s="116"/>
      <c r="C56" s="117"/>
      <c r="D56" s="116" t="s">
        <v>56</v>
      </c>
      <c r="E56" s="230"/>
      <c r="F56" s="203" t="s">
        <v>56</v>
      </c>
      <c r="G56" s="225" t="s">
        <v>19</v>
      </c>
      <c r="H56" s="81" t="s">
        <v>56</v>
      </c>
      <c r="I56" s="236" t="s">
        <v>19</v>
      </c>
      <c r="J56" s="201" t="str">
        <f>IFERROR(((E56+G56+I56)),"-")</f>
        <v>-</v>
      </c>
      <c r="K56" s="202" t="str">
        <f>IFERROR(((J56/1500)),"-")</f>
        <v>-</v>
      </c>
    </row>
    <row r="57" spans="1:11" ht="18.5" x14ac:dyDescent="0.35">
      <c r="A57" s="115" t="s">
        <v>137</v>
      </c>
      <c r="B57" s="118"/>
      <c r="C57" s="119"/>
      <c r="D57" s="235">
        <v>0.09</v>
      </c>
      <c r="E57" s="112">
        <f>(E31+E37+E49+E52+E53+E54+E55+E56)*D57</f>
        <v>577.94039999999995</v>
      </c>
      <c r="F57" s="234">
        <v>0.09</v>
      </c>
      <c r="G57" s="89" t="str">
        <f>IFERROR(((G31+G37+G49+G52+G53+G54+G55+G56)*F57),"-")</f>
        <v>-</v>
      </c>
      <c r="H57" s="235">
        <v>0.09</v>
      </c>
      <c r="I57" s="204" t="str">
        <f>IFERROR(((I31+I37+I49+I52+I53+I54+I55+I56)*H57),"-")</f>
        <v>-</v>
      </c>
      <c r="J57" s="201" t="str">
        <f>IFERROR((E57+G57+I57),"-")</f>
        <v>-</v>
      </c>
      <c r="K57" s="205" t="str">
        <f>IFERROR((J57/1500),"-")</f>
        <v>-</v>
      </c>
    </row>
    <row r="58" spans="1:11" ht="14.15" customHeight="1" x14ac:dyDescent="0.35">
      <c r="A58" s="120" t="s">
        <v>26</v>
      </c>
      <c r="B58" s="110"/>
      <c r="C58" s="110"/>
      <c r="D58" s="110"/>
      <c r="E58" s="97">
        <f>SUM(E52:E57)</f>
        <v>1118.3404</v>
      </c>
      <c r="F58" s="110"/>
      <c r="G58" s="97">
        <f>SUM(G52:G57)</f>
        <v>374.30340000000001</v>
      </c>
      <c r="H58" s="110"/>
      <c r="I58" s="97">
        <f>SUM(I52:I57)</f>
        <v>803.75639999999999</v>
      </c>
      <c r="J58" s="97">
        <f>+E58+G58+I58</f>
        <v>2296.4002</v>
      </c>
      <c r="K58" s="121">
        <f t="shared" ref="K58:K66" si="17">+J58/1500</f>
        <v>1.5309334666666667</v>
      </c>
    </row>
    <row r="59" spans="1:11" ht="14.15" customHeight="1" x14ac:dyDescent="0.35">
      <c r="A59" s="266"/>
      <c r="B59" s="267"/>
      <c r="C59" s="267"/>
      <c r="D59" s="267"/>
      <c r="E59" s="267"/>
      <c r="F59" s="267"/>
      <c r="G59" s="267"/>
      <c r="H59" s="267"/>
      <c r="I59" s="267"/>
      <c r="J59" s="267"/>
      <c r="K59" s="268"/>
    </row>
    <row r="60" spans="1:11" ht="14.15" customHeight="1" x14ac:dyDescent="0.35">
      <c r="A60" s="120" t="s">
        <v>40</v>
      </c>
      <c r="B60" s="76" t="s">
        <v>19</v>
      </c>
      <c r="C60" s="76"/>
      <c r="D60" s="76"/>
      <c r="E60" s="92">
        <f>+E31+E37+E49+E58</f>
        <v>6999.5003999999999</v>
      </c>
      <c r="F60" s="76"/>
      <c r="G60" s="92">
        <f>+G31+G37+G49+G58</f>
        <v>2916.9573999999993</v>
      </c>
      <c r="H60" s="76"/>
      <c r="I60" s="92">
        <f>+I31+I37+I49+I58</f>
        <v>4440.7404000000006</v>
      </c>
      <c r="J60" s="92">
        <f>+E60+G60+I60</f>
        <v>14357.198200000001</v>
      </c>
      <c r="K60" s="77">
        <f t="shared" si="17"/>
        <v>9.5714654666666679</v>
      </c>
    </row>
    <row r="61" spans="1:11" ht="14.15" customHeight="1" x14ac:dyDescent="0.35">
      <c r="A61" s="122" t="s">
        <v>46</v>
      </c>
      <c r="B61" s="110" t="s">
        <v>19</v>
      </c>
      <c r="C61" s="110"/>
      <c r="D61" s="110"/>
      <c r="E61" s="97">
        <f>+E31+E49+E58</f>
        <v>6999.5003999999999</v>
      </c>
      <c r="F61" s="110"/>
      <c r="G61" s="97">
        <f>+G31+G49+G58</f>
        <v>2149.7233999999999</v>
      </c>
      <c r="H61" s="110"/>
      <c r="I61" s="97">
        <f>+I31+I49+I58</f>
        <v>2732.1764000000003</v>
      </c>
      <c r="J61" s="97">
        <f>+E61+G61+I61</f>
        <v>11881.4002</v>
      </c>
      <c r="K61" s="121">
        <f t="shared" si="17"/>
        <v>7.9209334666666669</v>
      </c>
    </row>
    <row r="62" spans="1:11" ht="20.149999999999999" customHeight="1" x14ac:dyDescent="0.35">
      <c r="A62" s="269"/>
      <c r="B62" s="270"/>
      <c r="C62" s="270"/>
      <c r="D62" s="270"/>
      <c r="E62" s="270"/>
      <c r="F62" s="270"/>
      <c r="G62" s="270"/>
      <c r="H62" s="270"/>
      <c r="I62" s="270"/>
      <c r="J62" s="270"/>
      <c r="K62" s="271"/>
    </row>
    <row r="63" spans="1:11" ht="15.5" x14ac:dyDescent="0.35">
      <c r="A63" s="123" t="s">
        <v>47</v>
      </c>
      <c r="B63" s="76"/>
      <c r="C63" s="76"/>
      <c r="D63" s="76"/>
      <c r="E63" s="75">
        <f>+E64+E65</f>
        <v>0</v>
      </c>
      <c r="F63" s="76"/>
      <c r="G63" s="75">
        <f>+G64+G65</f>
        <v>1682.45</v>
      </c>
      <c r="H63" s="76"/>
      <c r="I63" s="75">
        <f>+I64+I65</f>
        <v>3595.9</v>
      </c>
      <c r="J63" s="75">
        <f>+E63+G63+I63</f>
        <v>5278.35</v>
      </c>
      <c r="K63" s="77">
        <f t="shared" si="17"/>
        <v>3.5189000000000004</v>
      </c>
    </row>
    <row r="64" spans="1:11" ht="18.5" x14ac:dyDescent="0.35">
      <c r="A64" s="120" t="s">
        <v>113</v>
      </c>
      <c r="B64" s="83" t="s">
        <v>12</v>
      </c>
      <c r="C64" s="82">
        <v>414.7</v>
      </c>
      <c r="D64" s="124"/>
      <c r="E64" s="82">
        <f>+C64*D64</f>
        <v>0</v>
      </c>
      <c r="F64" s="83">
        <v>3.5</v>
      </c>
      <c r="G64" s="82">
        <f>+F64*C64</f>
        <v>1451.45</v>
      </c>
      <c r="H64" s="83">
        <v>7</v>
      </c>
      <c r="I64" s="82">
        <f>+C64*H64</f>
        <v>2902.9</v>
      </c>
      <c r="J64" s="82">
        <f>+E64+G64+I64</f>
        <v>4354.3500000000004</v>
      </c>
      <c r="K64" s="84">
        <f t="shared" si="17"/>
        <v>2.9029000000000003</v>
      </c>
    </row>
    <row r="65" spans="1:11" ht="18" x14ac:dyDescent="0.35">
      <c r="A65" s="125" t="s">
        <v>114</v>
      </c>
      <c r="B65" s="83" t="s">
        <v>12</v>
      </c>
      <c r="C65" s="82">
        <v>231</v>
      </c>
      <c r="D65" s="124"/>
      <c r="E65" s="82">
        <f>+C65*D65</f>
        <v>0</v>
      </c>
      <c r="F65" s="83">
        <v>1</v>
      </c>
      <c r="G65" s="82">
        <f>+F65*C65</f>
        <v>231</v>
      </c>
      <c r="H65" s="83">
        <v>3</v>
      </c>
      <c r="I65" s="82">
        <f>+C65*H65</f>
        <v>693</v>
      </c>
      <c r="J65" s="82">
        <f>+E65+G65+I65</f>
        <v>924</v>
      </c>
      <c r="K65" s="84">
        <f t="shared" si="17"/>
        <v>0.61599999999999999</v>
      </c>
    </row>
    <row r="66" spans="1:11" ht="16" thickBot="1" x14ac:dyDescent="0.4">
      <c r="A66" s="126" t="s">
        <v>58</v>
      </c>
      <c r="B66" s="127"/>
      <c r="C66" s="127"/>
      <c r="D66" s="127"/>
      <c r="E66" s="128">
        <f>+E60-E63</f>
        <v>6999.5003999999999</v>
      </c>
      <c r="F66" s="127"/>
      <c r="G66" s="128">
        <f>+G60-G63</f>
        <v>1234.5073999999993</v>
      </c>
      <c r="H66" s="127"/>
      <c r="I66" s="128">
        <f>+I60-I63</f>
        <v>844.8404000000005</v>
      </c>
      <c r="J66" s="128">
        <f>+E66+G66+I66</f>
        <v>9078.8482000000004</v>
      </c>
      <c r="K66" s="129">
        <f t="shared" si="17"/>
        <v>6.0525654666666666</v>
      </c>
    </row>
    <row r="67" spans="1:11" x14ac:dyDescent="0.35">
      <c r="B67" s="2"/>
      <c r="C67" s="2"/>
      <c r="D67" s="6"/>
      <c r="E67" s="7"/>
      <c r="F67" s="1"/>
      <c r="G67" s="1"/>
      <c r="H67" s="1"/>
      <c r="I67" s="1"/>
      <c r="J67" s="1"/>
    </row>
    <row r="68" spans="1:11" x14ac:dyDescent="0.35">
      <c r="B68" s="2"/>
      <c r="C68" s="2"/>
      <c r="D68" s="6"/>
      <c r="E68" s="7"/>
      <c r="F68" s="1"/>
      <c r="G68" s="1"/>
      <c r="H68" s="1"/>
      <c r="I68" s="23" t="s">
        <v>19</v>
      </c>
      <c r="J68" s="23" t="s">
        <v>19</v>
      </c>
      <c r="K68" s="24" t="s">
        <v>19</v>
      </c>
    </row>
    <row r="69" spans="1:11" ht="15.5" x14ac:dyDescent="0.35">
      <c r="A69" s="25" t="s">
        <v>116</v>
      </c>
      <c r="B69" s="25"/>
      <c r="C69" s="25"/>
      <c r="D69" s="25"/>
      <c r="E69" s="206"/>
      <c r="F69" s="207"/>
      <c r="G69" s="207"/>
      <c r="H69" s="26"/>
      <c r="I69" s="26"/>
      <c r="J69" s="26"/>
      <c r="K69" s="26"/>
    </row>
    <row r="70" spans="1:11" x14ac:dyDescent="0.35">
      <c r="A70" s="263" t="s">
        <v>117</v>
      </c>
      <c r="B70" s="263"/>
      <c r="C70" s="263"/>
      <c r="D70" s="263"/>
      <c r="E70" s="263"/>
      <c r="F70" s="263"/>
      <c r="G70" s="263"/>
      <c r="H70" s="263"/>
      <c r="I70" s="263"/>
      <c r="J70" s="263"/>
      <c r="K70" s="263"/>
    </row>
    <row r="71" spans="1:11" x14ac:dyDescent="0.35">
      <c r="A71" s="263"/>
      <c r="B71" s="263"/>
      <c r="C71" s="263"/>
      <c r="D71" s="263"/>
      <c r="E71" s="263"/>
      <c r="F71" s="263"/>
      <c r="G71" s="263"/>
      <c r="H71" s="263"/>
      <c r="I71" s="263"/>
      <c r="J71" s="263"/>
      <c r="K71" s="263"/>
    </row>
    <row r="72" spans="1:11" ht="15.5" x14ac:dyDescent="0.35">
      <c r="A72" s="262" t="s">
        <v>118</v>
      </c>
      <c r="B72" s="262"/>
      <c r="C72" s="262"/>
      <c r="D72" s="262"/>
      <c r="E72" s="262"/>
      <c r="F72" s="262"/>
      <c r="G72" s="262"/>
      <c r="H72" s="262"/>
      <c r="I72" s="262"/>
      <c r="J72" s="262"/>
      <c r="K72" s="262"/>
    </row>
    <row r="73" spans="1:11" x14ac:dyDescent="0.35">
      <c r="A73" s="263" t="s">
        <v>119</v>
      </c>
      <c r="B73" s="263"/>
      <c r="C73" s="263"/>
      <c r="D73" s="263"/>
      <c r="E73" s="263"/>
      <c r="F73" s="263"/>
      <c r="G73" s="263"/>
      <c r="H73" s="263"/>
      <c r="I73" s="263"/>
      <c r="J73" s="263"/>
      <c r="K73" s="263"/>
    </row>
    <row r="74" spans="1:11" x14ac:dyDescent="0.35">
      <c r="A74" s="263"/>
      <c r="B74" s="263"/>
      <c r="C74" s="263"/>
      <c r="D74" s="263"/>
      <c r="E74" s="263"/>
      <c r="F74" s="263"/>
      <c r="G74" s="263"/>
      <c r="H74" s="263"/>
      <c r="I74" s="263"/>
      <c r="J74" s="263"/>
      <c r="K74" s="263"/>
    </row>
    <row r="75" spans="1:11" x14ac:dyDescent="0.35">
      <c r="A75" s="263" t="s">
        <v>120</v>
      </c>
      <c r="B75" s="263"/>
      <c r="C75" s="263"/>
      <c r="D75" s="263"/>
      <c r="E75" s="263"/>
      <c r="F75" s="263"/>
      <c r="G75" s="263"/>
      <c r="H75" s="263"/>
      <c r="I75" s="263"/>
      <c r="J75" s="263"/>
      <c r="K75" s="263"/>
    </row>
    <row r="76" spans="1:11" x14ac:dyDescent="0.35">
      <c r="A76" s="263"/>
      <c r="B76" s="263"/>
      <c r="C76" s="263"/>
      <c r="D76" s="263"/>
      <c r="E76" s="263"/>
      <c r="F76" s="263"/>
      <c r="G76" s="263"/>
      <c r="H76" s="263"/>
      <c r="I76" s="263"/>
      <c r="J76" s="263"/>
      <c r="K76" s="263"/>
    </row>
    <row r="77" spans="1:11" x14ac:dyDescent="0.35">
      <c r="A77" s="263"/>
      <c r="B77" s="263"/>
      <c r="C77" s="263"/>
      <c r="D77" s="263"/>
      <c r="E77" s="263"/>
      <c r="F77" s="263"/>
      <c r="G77" s="263"/>
      <c r="H77" s="263"/>
      <c r="I77" s="263"/>
      <c r="J77" s="263"/>
      <c r="K77" s="263"/>
    </row>
    <row r="78" spans="1:11" x14ac:dyDescent="0.35">
      <c r="A78" s="263" t="s">
        <v>121</v>
      </c>
      <c r="B78" s="263"/>
      <c r="C78" s="263"/>
      <c r="D78" s="263"/>
      <c r="E78" s="263"/>
      <c r="F78" s="263"/>
      <c r="G78" s="263"/>
      <c r="H78" s="263"/>
      <c r="I78" s="263"/>
      <c r="J78" s="263"/>
      <c r="K78" s="263"/>
    </row>
    <row r="79" spans="1:11" x14ac:dyDescent="0.35">
      <c r="A79" s="263"/>
      <c r="B79" s="263"/>
      <c r="C79" s="263"/>
      <c r="D79" s="263"/>
      <c r="E79" s="263"/>
      <c r="F79" s="263"/>
      <c r="G79" s="263"/>
      <c r="H79" s="263"/>
      <c r="I79" s="263"/>
      <c r="J79" s="263"/>
      <c r="K79" s="263"/>
    </row>
    <row r="80" spans="1:11" ht="15.5" customHeight="1" x14ac:dyDescent="0.35">
      <c r="A80" s="263" t="s">
        <v>122</v>
      </c>
      <c r="B80" s="263"/>
      <c r="C80" s="263"/>
      <c r="D80" s="263"/>
      <c r="E80" s="263"/>
      <c r="F80" s="263"/>
      <c r="G80" s="263"/>
      <c r="H80" s="263"/>
      <c r="I80" s="263"/>
      <c r="J80" s="263"/>
      <c r="K80" s="263"/>
    </row>
    <row r="81" spans="1:11" ht="15.5" customHeight="1" x14ac:dyDescent="0.35">
      <c r="A81" s="263"/>
      <c r="B81" s="263"/>
      <c r="C81" s="263"/>
      <c r="D81" s="263"/>
      <c r="E81" s="263"/>
      <c r="F81" s="263"/>
      <c r="G81" s="263"/>
      <c r="H81" s="263"/>
      <c r="I81" s="263"/>
      <c r="J81" s="263"/>
      <c r="K81" s="263"/>
    </row>
    <row r="82" spans="1:11" ht="15.5" x14ac:dyDescent="0.35">
      <c r="A82" s="262" t="s">
        <v>123</v>
      </c>
      <c r="B82" s="262"/>
      <c r="C82" s="262"/>
      <c r="D82" s="262"/>
      <c r="E82" s="262"/>
      <c r="F82" s="262"/>
      <c r="G82" s="262"/>
      <c r="H82" s="262"/>
      <c r="I82" s="262"/>
      <c r="J82" s="262"/>
      <c r="K82" s="262"/>
    </row>
    <row r="83" spans="1:11" x14ac:dyDescent="0.35">
      <c r="A83" s="263" t="s">
        <v>124</v>
      </c>
      <c r="B83" s="263"/>
      <c r="C83" s="263"/>
      <c r="D83" s="263"/>
      <c r="E83" s="263"/>
      <c r="F83" s="263"/>
      <c r="G83" s="263"/>
      <c r="H83" s="263"/>
      <c r="I83" s="263"/>
      <c r="J83" s="263"/>
      <c r="K83" s="263"/>
    </row>
    <row r="84" spans="1:11" x14ac:dyDescent="0.35">
      <c r="A84" s="263"/>
      <c r="B84" s="263"/>
      <c r="C84" s="263"/>
      <c r="D84" s="263"/>
      <c r="E84" s="263"/>
      <c r="F84" s="263"/>
      <c r="G84" s="263"/>
      <c r="H84" s="263"/>
      <c r="I84" s="263"/>
      <c r="J84" s="263"/>
      <c r="K84" s="263"/>
    </row>
    <row r="85" spans="1:11" ht="15.5" x14ac:dyDescent="0.3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</row>
    <row r="86" spans="1:11" ht="15.5" x14ac:dyDescent="0.3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</row>
    <row r="87" spans="1:11" ht="15.5" x14ac:dyDescent="0.35">
      <c r="A87" s="25" t="s">
        <v>125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</row>
    <row r="88" spans="1:11" ht="15.5" x14ac:dyDescent="0.35">
      <c r="A88" s="208" t="s">
        <v>138</v>
      </c>
      <c r="B88" s="26"/>
      <c r="C88" s="26"/>
      <c r="D88" s="26"/>
      <c r="E88" s="26"/>
      <c r="F88" s="26"/>
      <c r="G88" s="26"/>
      <c r="H88" s="26"/>
      <c r="I88" s="26"/>
      <c r="J88" s="26"/>
      <c r="K88" s="26"/>
    </row>
    <row r="89" spans="1:11" ht="15.5" x14ac:dyDescent="0.35">
      <c r="A89" s="209" t="s">
        <v>139</v>
      </c>
      <c r="B89" s="26"/>
      <c r="C89" s="26"/>
      <c r="D89" s="26"/>
      <c r="E89" s="26"/>
      <c r="F89" s="26"/>
      <c r="G89" s="26"/>
      <c r="H89" s="26"/>
      <c r="I89" s="26"/>
      <c r="J89" s="26"/>
      <c r="K89" s="26"/>
    </row>
    <row r="90" spans="1:11" ht="15.5" x14ac:dyDescent="0.3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</row>
    <row r="91" spans="1:11" ht="15.5" x14ac:dyDescent="0.35">
      <c r="A91" s="25" t="s">
        <v>140</v>
      </c>
      <c r="B91" s="26"/>
      <c r="C91" s="26"/>
      <c r="D91" s="26"/>
      <c r="E91" s="26"/>
      <c r="F91" s="26"/>
      <c r="G91" s="26"/>
      <c r="H91" s="26"/>
      <c r="I91" s="26"/>
      <c r="J91" s="26"/>
      <c r="K91" s="26"/>
    </row>
    <row r="92" spans="1:11" ht="15.5" x14ac:dyDescent="0.35">
      <c r="A92" s="208" t="s">
        <v>126</v>
      </c>
      <c r="B92" s="26"/>
      <c r="C92" s="26"/>
      <c r="D92" s="26"/>
      <c r="E92" s="26"/>
      <c r="F92" s="26"/>
      <c r="G92" s="26"/>
      <c r="H92" s="26"/>
      <c r="I92" s="26"/>
      <c r="J92" s="26"/>
      <c r="K92" s="26"/>
    </row>
    <row r="93" spans="1:11" ht="15.5" x14ac:dyDescent="0.35">
      <c r="A93" s="209" t="s">
        <v>127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</row>
    <row r="94" spans="1:11" ht="15.5" x14ac:dyDescent="0.3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</row>
    <row r="95" spans="1:11" ht="15.5" x14ac:dyDescent="0.3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</row>
    <row r="96" spans="1:11" ht="15.5" x14ac:dyDescent="0.35">
      <c r="A96" s="265" t="s">
        <v>141</v>
      </c>
      <c r="B96" s="265"/>
      <c r="C96" s="265"/>
      <c r="D96" s="265"/>
      <c r="E96" s="265"/>
      <c r="F96" s="265" t="s">
        <v>130</v>
      </c>
      <c r="G96" s="265"/>
      <c r="H96" s="265"/>
      <c r="I96" s="265"/>
      <c r="J96" s="265"/>
      <c r="K96" s="265"/>
    </row>
    <row r="98" spans="1:11" ht="14.5" customHeight="1" x14ac:dyDescent="0.35">
      <c r="A98" s="264" t="s">
        <v>128</v>
      </c>
      <c r="B98" s="264"/>
      <c r="C98" s="264"/>
      <c r="D98" s="264"/>
      <c r="E98" s="264"/>
      <c r="F98" s="264"/>
      <c r="G98" s="264"/>
      <c r="H98" s="264"/>
      <c r="I98" s="264"/>
      <c r="J98" s="264"/>
      <c r="K98" s="264"/>
    </row>
    <row r="99" spans="1:11" ht="14.5" customHeight="1" x14ac:dyDescent="0.35">
      <c r="A99" s="264"/>
      <c r="B99" s="264"/>
      <c r="C99" s="264"/>
      <c r="D99" s="264"/>
      <c r="E99" s="264"/>
      <c r="F99" s="264"/>
      <c r="G99" s="264"/>
      <c r="H99" s="264"/>
      <c r="I99" s="264"/>
      <c r="J99" s="264"/>
      <c r="K99" s="264"/>
    </row>
    <row r="100" spans="1:11" ht="14.5" customHeight="1" x14ac:dyDescent="0.35">
      <c r="A100" s="264"/>
      <c r="B100" s="264"/>
      <c r="C100" s="264"/>
      <c r="D100" s="264"/>
      <c r="E100" s="264"/>
      <c r="F100" s="264"/>
      <c r="G100" s="264"/>
      <c r="H100" s="264"/>
      <c r="I100" s="264"/>
      <c r="J100" s="264"/>
      <c r="K100" s="264"/>
    </row>
    <row r="101" spans="1:11" ht="14.5" customHeight="1" x14ac:dyDescent="0.35">
      <c r="A101" s="264"/>
      <c r="B101" s="264"/>
      <c r="C101" s="264"/>
      <c r="D101" s="264"/>
      <c r="E101" s="264"/>
      <c r="F101" s="264"/>
      <c r="G101" s="264"/>
      <c r="H101" s="264"/>
      <c r="I101" s="264"/>
      <c r="J101" s="264"/>
      <c r="K101" s="264"/>
    </row>
    <row r="102" spans="1:11" ht="14.5" customHeight="1" x14ac:dyDescent="0.35">
      <c r="A102" s="264"/>
      <c r="B102" s="264"/>
      <c r="C102" s="264"/>
      <c r="D102" s="264"/>
      <c r="E102" s="264"/>
      <c r="F102" s="264"/>
      <c r="G102" s="264"/>
      <c r="H102" s="264"/>
      <c r="I102" s="264"/>
      <c r="J102" s="264"/>
      <c r="K102" s="264"/>
    </row>
    <row r="105" spans="1:11" ht="14.5" customHeight="1" x14ac:dyDescent="0.35">
      <c r="A105" s="264" t="s">
        <v>129</v>
      </c>
      <c r="B105" s="264"/>
      <c r="C105" s="264"/>
      <c r="D105" s="264"/>
      <c r="E105" s="264"/>
      <c r="F105" s="264"/>
      <c r="G105" s="264"/>
      <c r="H105" s="264"/>
      <c r="I105" s="264"/>
      <c r="J105" s="264"/>
      <c r="K105" s="264"/>
    </row>
    <row r="106" spans="1:11" ht="14.5" customHeight="1" x14ac:dyDescent="0.35">
      <c r="A106" s="264"/>
      <c r="B106" s="264"/>
      <c r="C106" s="264"/>
      <c r="D106" s="264"/>
      <c r="E106" s="264"/>
      <c r="F106" s="264"/>
      <c r="G106" s="264"/>
      <c r="H106" s="264"/>
      <c r="I106" s="264"/>
      <c r="J106" s="264"/>
      <c r="K106" s="264"/>
    </row>
  </sheetData>
  <sheetProtection sheet="1" objects="1" scenarios="1"/>
  <mergeCells count="25">
    <mergeCell ref="A1:K1"/>
    <mergeCell ref="A2:K2"/>
    <mergeCell ref="A3:K3"/>
    <mergeCell ref="A5:K5"/>
    <mergeCell ref="A6:K6"/>
    <mergeCell ref="A59:K59"/>
    <mergeCell ref="A62:K62"/>
    <mergeCell ref="A39:K39"/>
    <mergeCell ref="A70:K71"/>
    <mergeCell ref="A7:K7"/>
    <mergeCell ref="A9:K9"/>
    <mergeCell ref="A32:K32"/>
    <mergeCell ref="A38:K38"/>
    <mergeCell ref="A50:K50"/>
    <mergeCell ref="A80:K81"/>
    <mergeCell ref="A72:K72"/>
    <mergeCell ref="A73:K74"/>
    <mergeCell ref="A75:K77"/>
    <mergeCell ref="A78:K79"/>
    <mergeCell ref="A82:K82"/>
    <mergeCell ref="A83:K84"/>
    <mergeCell ref="A98:K102"/>
    <mergeCell ref="A105:K106"/>
    <mergeCell ref="A96:E96"/>
    <mergeCell ref="F96:K96"/>
  </mergeCells>
  <phoneticPr fontId="0" type="noConversion"/>
  <printOptions horizontalCentered="1"/>
  <pageMargins left="0.7" right="0.7" top="0" bottom="0" header="0" footer="0"/>
  <pageSetup scale="64" fitToWidth="2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8C941-C368-46E1-98D1-FF0CFCF83135}">
  <sheetPr>
    <pageSetUpPr fitToPage="1"/>
  </sheetPr>
  <dimension ref="A1:K94"/>
  <sheetViews>
    <sheetView zoomScale="78" zoomScaleNormal="78" workbookViewId="0">
      <pane ySplit="13" topLeftCell="A14" activePane="bottomLeft" state="frozen"/>
      <selection pane="bottomLeft" activeCell="E43" sqref="E43"/>
    </sheetView>
  </sheetViews>
  <sheetFormatPr defaultRowHeight="14.5" x14ac:dyDescent="0.35"/>
  <cols>
    <col min="1" max="1" width="74.453125" customWidth="1"/>
    <col min="2" max="2" width="9.54296875" customWidth="1"/>
    <col min="3" max="3" width="11.81640625" customWidth="1"/>
    <col min="4" max="4" width="12" customWidth="1"/>
    <col min="5" max="5" width="13.453125" customWidth="1"/>
    <col min="6" max="6" width="14.1796875" customWidth="1"/>
    <col min="7" max="7" width="11.1796875" customWidth="1"/>
  </cols>
  <sheetData>
    <row r="1" spans="1:11" ht="15.5" x14ac:dyDescent="0.35">
      <c r="A1" s="283" t="s">
        <v>103</v>
      </c>
      <c r="B1" s="283"/>
      <c r="C1" s="283"/>
      <c r="D1" s="283"/>
      <c r="E1" s="283"/>
      <c r="F1" s="283"/>
      <c r="G1" s="283"/>
      <c r="H1" s="238"/>
      <c r="I1" s="238"/>
      <c r="J1" s="238"/>
      <c r="K1" s="238"/>
    </row>
    <row r="2" spans="1:11" ht="15.5" x14ac:dyDescent="0.35">
      <c r="A2" s="283" t="s">
        <v>104</v>
      </c>
      <c r="B2" s="283"/>
      <c r="C2" s="283"/>
      <c r="D2" s="283"/>
      <c r="E2" s="283"/>
      <c r="F2" s="283"/>
      <c r="G2" s="283"/>
      <c r="H2" s="238"/>
      <c r="I2" s="238"/>
      <c r="J2" s="238"/>
      <c r="K2" s="238"/>
    </row>
    <row r="3" spans="1:11" ht="15.5" x14ac:dyDescent="0.35">
      <c r="A3" s="283" t="s">
        <v>105</v>
      </c>
      <c r="B3" s="283"/>
      <c r="C3" s="283"/>
      <c r="D3" s="283"/>
      <c r="E3" s="283"/>
      <c r="F3" s="283"/>
      <c r="G3" s="283"/>
      <c r="H3" s="238"/>
      <c r="I3" s="238"/>
      <c r="J3" s="238"/>
      <c r="K3" s="238"/>
    </row>
    <row r="4" spans="1:11" ht="15.5" x14ac:dyDescent="0.35">
      <c r="A4" s="199"/>
      <c r="B4" s="199"/>
      <c r="C4" s="199"/>
      <c r="D4" s="199"/>
      <c r="E4" s="199"/>
      <c r="F4" s="199"/>
      <c r="G4" s="26"/>
      <c r="H4" s="26"/>
      <c r="I4" s="26"/>
    </row>
    <row r="5" spans="1:11" ht="15.5" x14ac:dyDescent="0.35">
      <c r="A5" s="283" t="s">
        <v>144</v>
      </c>
      <c r="B5" s="283"/>
      <c r="C5" s="283"/>
      <c r="D5" s="283"/>
      <c r="E5" s="283"/>
      <c r="F5" s="283"/>
      <c r="G5" s="283"/>
      <c r="H5" s="238"/>
      <c r="I5" s="238"/>
      <c r="J5" s="238"/>
      <c r="K5" s="238"/>
    </row>
    <row r="6" spans="1:11" ht="15.5" x14ac:dyDescent="0.35">
      <c r="A6" s="283" t="s">
        <v>143</v>
      </c>
      <c r="B6" s="283"/>
      <c r="C6" s="283"/>
      <c r="D6" s="283"/>
      <c r="E6" s="283"/>
      <c r="F6" s="283"/>
      <c r="G6" s="283"/>
      <c r="H6" s="238"/>
      <c r="I6" s="238"/>
      <c r="J6" s="238"/>
      <c r="K6" s="238"/>
    </row>
    <row r="7" spans="1:11" ht="18.5" x14ac:dyDescent="0.35">
      <c r="A7" s="275" t="s">
        <v>131</v>
      </c>
      <c r="B7" s="275"/>
      <c r="C7" s="275"/>
      <c r="D7" s="275"/>
      <c r="E7" s="275"/>
      <c r="F7" s="275"/>
      <c r="G7" s="275"/>
      <c r="H7" s="239"/>
      <c r="I7" s="239"/>
      <c r="J7" s="239"/>
      <c r="K7" s="239"/>
    </row>
    <row r="8" spans="1:11" ht="15.5" x14ac:dyDescent="0.35">
      <c r="A8" s="200"/>
      <c r="B8" s="200"/>
      <c r="C8" s="200"/>
      <c r="D8" s="200"/>
      <c r="E8" s="200"/>
      <c r="F8" s="200"/>
      <c r="G8" s="26"/>
      <c r="H8" s="26"/>
      <c r="I8" s="26"/>
    </row>
    <row r="9" spans="1:11" ht="20.25" customHeight="1" x14ac:dyDescent="0.35">
      <c r="A9" s="276" t="s">
        <v>106</v>
      </c>
      <c r="B9" s="276"/>
      <c r="C9" s="276"/>
      <c r="D9" s="276"/>
      <c r="E9" s="276"/>
      <c r="F9" s="276"/>
      <c r="G9" s="276"/>
      <c r="H9" s="240"/>
      <c r="I9" s="240"/>
      <c r="J9" s="240"/>
      <c r="K9" s="240"/>
    </row>
    <row r="10" spans="1:11" ht="15.5" x14ac:dyDescent="0.35">
      <c r="A10" s="237"/>
      <c r="B10" s="237"/>
      <c r="C10" s="237"/>
      <c r="D10" s="237"/>
      <c r="E10" s="237"/>
      <c r="F10" s="237"/>
      <c r="G10" s="237"/>
      <c r="H10" s="237"/>
      <c r="I10" s="237"/>
      <c r="J10" s="237"/>
      <c r="K10" s="237"/>
    </row>
    <row r="11" spans="1:11" ht="15.5" x14ac:dyDescent="0.35">
      <c r="A11" s="163"/>
      <c r="H11" s="237"/>
      <c r="I11" s="237"/>
      <c r="J11" s="237"/>
      <c r="K11" s="237"/>
    </row>
    <row r="12" spans="1:11" ht="14.5" customHeight="1" x14ac:dyDescent="0.35">
      <c r="A12" s="162" t="s">
        <v>2</v>
      </c>
      <c r="B12" s="3" t="s">
        <v>0</v>
      </c>
      <c r="C12" s="3" t="s">
        <v>1</v>
      </c>
      <c r="D12" s="3" t="s">
        <v>22</v>
      </c>
      <c r="E12" s="3" t="s">
        <v>73</v>
      </c>
      <c r="F12" s="3" t="s">
        <v>23</v>
      </c>
      <c r="G12" s="3" t="s">
        <v>22</v>
      </c>
    </row>
    <row r="13" spans="1:11" ht="14.15" customHeight="1" x14ac:dyDescent="0.35">
      <c r="A13" s="161"/>
      <c r="B13" s="4"/>
      <c r="C13" s="4"/>
      <c r="D13" s="5" t="s">
        <v>0</v>
      </c>
      <c r="E13" s="3"/>
      <c r="F13" s="3" t="s">
        <v>72</v>
      </c>
      <c r="G13" s="3" t="s">
        <v>21</v>
      </c>
    </row>
    <row r="14" spans="1:11" x14ac:dyDescent="0.35">
      <c r="A14" s="145" t="s">
        <v>3</v>
      </c>
      <c r="B14" s="160"/>
      <c r="C14" s="159"/>
      <c r="D14" s="158"/>
      <c r="E14" s="13"/>
      <c r="F14" s="157" t="s">
        <v>71</v>
      </c>
      <c r="G14" s="157">
        <v>1500</v>
      </c>
    </row>
    <row r="15" spans="1:11" x14ac:dyDescent="0.35">
      <c r="A15" s="150" t="s">
        <v>4</v>
      </c>
      <c r="B15" s="8" t="s">
        <v>11</v>
      </c>
      <c r="C15" s="246">
        <v>24</v>
      </c>
      <c r="D15" s="247">
        <v>7.25</v>
      </c>
      <c r="E15" s="140">
        <f t="shared" ref="E15:E21" si="0">+C15*D15</f>
        <v>174</v>
      </c>
      <c r="F15" s="9">
        <f t="shared" ref="F15:F23" si="1">+E15/16</f>
        <v>10.875</v>
      </c>
      <c r="G15" s="9">
        <f t="shared" ref="G15:G23" si="2">+E15/1500</f>
        <v>0.11600000000000001</v>
      </c>
    </row>
    <row r="16" spans="1:11" ht="16" customHeight="1" x14ac:dyDescent="0.35">
      <c r="A16" s="150" t="s">
        <v>70</v>
      </c>
      <c r="B16" s="8" t="s">
        <v>11</v>
      </c>
      <c r="C16" s="246">
        <v>4</v>
      </c>
      <c r="D16" s="247">
        <v>7.25</v>
      </c>
      <c r="E16" s="140">
        <f t="shared" si="0"/>
        <v>29</v>
      </c>
      <c r="F16" s="9">
        <f t="shared" si="1"/>
        <v>1.8125</v>
      </c>
      <c r="G16" s="9">
        <f t="shared" si="2"/>
        <v>1.9333333333333334E-2</v>
      </c>
    </row>
    <row r="17" spans="1:7" ht="14.15" customHeight="1" x14ac:dyDescent="0.35">
      <c r="A17" s="148" t="s">
        <v>5</v>
      </c>
      <c r="B17" s="10" t="s">
        <v>11</v>
      </c>
      <c r="C17" s="246">
        <v>8</v>
      </c>
      <c r="D17" s="247">
        <v>7.25</v>
      </c>
      <c r="E17" s="140">
        <f t="shared" si="0"/>
        <v>58</v>
      </c>
      <c r="F17" s="9">
        <f t="shared" si="1"/>
        <v>3.625</v>
      </c>
      <c r="G17" s="9">
        <f t="shared" si="2"/>
        <v>3.8666666666666669E-2</v>
      </c>
    </row>
    <row r="18" spans="1:7" ht="14.15" customHeight="1" x14ac:dyDescent="0.35">
      <c r="A18" s="148" t="s">
        <v>69</v>
      </c>
      <c r="B18" s="10" t="s">
        <v>11</v>
      </c>
      <c r="C18" s="246">
        <v>15</v>
      </c>
      <c r="D18" s="247">
        <v>7.25</v>
      </c>
      <c r="E18" s="140">
        <f t="shared" si="0"/>
        <v>108.75</v>
      </c>
      <c r="F18" s="9">
        <f t="shared" si="1"/>
        <v>6.796875</v>
      </c>
      <c r="G18" s="9">
        <f t="shared" si="2"/>
        <v>7.2499999999999995E-2</v>
      </c>
    </row>
    <row r="19" spans="1:7" ht="14.15" customHeight="1" x14ac:dyDescent="0.35">
      <c r="A19" s="156" t="s">
        <v>6</v>
      </c>
      <c r="B19" s="11" t="s">
        <v>11</v>
      </c>
      <c r="C19" s="246">
        <v>28</v>
      </c>
      <c r="D19" s="247">
        <v>7.25</v>
      </c>
      <c r="E19" s="140">
        <f t="shared" si="0"/>
        <v>203</v>
      </c>
      <c r="F19" s="9">
        <f t="shared" si="1"/>
        <v>12.6875</v>
      </c>
      <c r="G19" s="9">
        <f t="shared" si="2"/>
        <v>0.13533333333333333</v>
      </c>
    </row>
    <row r="20" spans="1:7" ht="14.15" customHeight="1" x14ac:dyDescent="0.35">
      <c r="A20" s="156" t="s">
        <v>68</v>
      </c>
      <c r="B20" s="11" t="s">
        <v>11</v>
      </c>
      <c r="C20" s="248">
        <v>13</v>
      </c>
      <c r="D20" s="247">
        <v>7.25</v>
      </c>
      <c r="E20" s="140">
        <f t="shared" si="0"/>
        <v>94.25</v>
      </c>
      <c r="F20" s="9">
        <f t="shared" si="1"/>
        <v>5.890625</v>
      </c>
      <c r="G20" s="9">
        <f t="shared" si="2"/>
        <v>6.2833333333333338E-2</v>
      </c>
    </row>
    <row r="21" spans="1:7" ht="14.15" customHeight="1" x14ac:dyDescent="0.35">
      <c r="A21" s="156" t="s">
        <v>67</v>
      </c>
      <c r="B21" s="11" t="s">
        <v>11</v>
      </c>
      <c r="C21" s="248">
        <v>10</v>
      </c>
      <c r="D21" s="247">
        <v>7.25</v>
      </c>
      <c r="E21" s="140">
        <f t="shared" si="0"/>
        <v>72.5</v>
      </c>
      <c r="F21" s="9">
        <f t="shared" si="1"/>
        <v>4.53125</v>
      </c>
      <c r="G21" s="9">
        <f t="shared" si="2"/>
        <v>4.8333333333333332E-2</v>
      </c>
    </row>
    <row r="22" spans="1:7" ht="16.5" x14ac:dyDescent="0.35">
      <c r="A22" s="136" t="s">
        <v>146</v>
      </c>
      <c r="B22" s="11" t="s">
        <v>11</v>
      </c>
      <c r="C22" s="12">
        <f>SUM(C15:C21)</f>
        <v>102</v>
      </c>
      <c r="D22" s="9"/>
      <c r="E22" s="135">
        <f>(C22*7.25)*20%</f>
        <v>147.9</v>
      </c>
      <c r="F22" s="9">
        <f>+E22/16</f>
        <v>9.2437500000000004</v>
      </c>
      <c r="G22" s="9">
        <f>+E22/1500</f>
        <v>9.8600000000000007E-2</v>
      </c>
    </row>
    <row r="23" spans="1:7" ht="14.15" customHeight="1" x14ac:dyDescent="0.35">
      <c r="A23" s="287" t="s">
        <v>66</v>
      </c>
      <c r="B23" s="288"/>
      <c r="C23" s="288"/>
      <c r="D23" s="289"/>
      <c r="E23" s="155">
        <f>SUM(E15:E22)</f>
        <v>887.4</v>
      </c>
      <c r="F23" s="133">
        <f t="shared" si="1"/>
        <v>55.462499999999999</v>
      </c>
      <c r="G23" s="133">
        <f t="shared" si="2"/>
        <v>0.59160000000000001</v>
      </c>
    </row>
    <row r="24" spans="1:7" ht="14.15" customHeight="1" x14ac:dyDescent="0.35">
      <c r="A24" s="293"/>
      <c r="B24" s="294"/>
      <c r="C24" s="294"/>
      <c r="D24" s="294"/>
      <c r="E24" s="294"/>
      <c r="F24" s="294"/>
      <c r="G24" s="295"/>
    </row>
    <row r="25" spans="1:7" ht="14.15" customHeight="1" x14ac:dyDescent="0.35">
      <c r="A25" s="153" t="s">
        <v>65</v>
      </c>
      <c r="B25" s="154"/>
      <c r="C25" s="154"/>
      <c r="D25" s="154"/>
      <c r="E25" s="140"/>
      <c r="F25" s="9" t="s">
        <v>19</v>
      </c>
      <c r="G25" s="9" t="s">
        <v>19</v>
      </c>
    </row>
    <row r="26" spans="1:7" ht="14.15" customHeight="1" x14ac:dyDescent="0.35">
      <c r="A26" s="153" t="s">
        <v>64</v>
      </c>
      <c r="B26" s="17" t="s">
        <v>20</v>
      </c>
      <c r="C26" s="249">
        <v>246.4</v>
      </c>
      <c r="D26" s="250">
        <v>7.25</v>
      </c>
      <c r="E26" s="140">
        <f>+C26*D26</f>
        <v>1786.4</v>
      </c>
      <c r="F26" s="9">
        <f>+E26/16</f>
        <v>111.65</v>
      </c>
      <c r="G26" s="9">
        <f>+E26/1500</f>
        <v>1.1909333333333334</v>
      </c>
    </row>
    <row r="27" spans="1:7" ht="14.15" customHeight="1" x14ac:dyDescent="0.35">
      <c r="A27" s="153" t="s">
        <v>63</v>
      </c>
      <c r="B27" s="17" t="s">
        <v>20</v>
      </c>
      <c r="C27" s="249">
        <v>105.6</v>
      </c>
      <c r="D27" s="250">
        <v>5.4</v>
      </c>
      <c r="E27" s="140">
        <f>+C27*D27</f>
        <v>570.24</v>
      </c>
      <c r="F27" s="9">
        <f>+E27/16</f>
        <v>35.64</v>
      </c>
      <c r="G27" s="9">
        <f>+E27/1500</f>
        <v>0.38016</v>
      </c>
    </row>
    <row r="28" spans="1:7" ht="14.15" customHeight="1" x14ac:dyDescent="0.35">
      <c r="A28" s="153" t="s">
        <v>147</v>
      </c>
      <c r="B28" s="17" t="s">
        <v>19</v>
      </c>
      <c r="C28" s="17" t="s">
        <v>19</v>
      </c>
      <c r="D28" s="14" t="s">
        <v>19</v>
      </c>
      <c r="E28" s="14">
        <f>+(E26+E27)*0.16</f>
        <v>377.06240000000008</v>
      </c>
      <c r="F28" s="9">
        <f>+E28/16</f>
        <v>23.566400000000005</v>
      </c>
      <c r="G28" s="9">
        <f>+F28/1500</f>
        <v>1.5710933333333336E-2</v>
      </c>
    </row>
    <row r="29" spans="1:7" ht="17" x14ac:dyDescent="0.35">
      <c r="A29" s="152" t="s">
        <v>148</v>
      </c>
      <c r="B29" s="151"/>
      <c r="C29" s="151"/>
      <c r="D29" s="151"/>
      <c r="E29" s="147">
        <f>SUM(E26:E28)</f>
        <v>2733.7024000000006</v>
      </c>
      <c r="F29" s="133">
        <f>+E29/16</f>
        <v>170.85640000000004</v>
      </c>
      <c r="G29" s="133">
        <f>+E29/1500</f>
        <v>1.8224682666666669</v>
      </c>
    </row>
    <row r="30" spans="1:7" ht="14.15" customHeight="1" x14ac:dyDescent="0.35">
      <c r="A30" s="293"/>
      <c r="B30" s="294"/>
      <c r="C30" s="294"/>
      <c r="D30" s="294"/>
      <c r="E30" s="294"/>
      <c r="F30" s="294"/>
      <c r="G30" s="295"/>
    </row>
    <row r="31" spans="1:7" ht="17" x14ac:dyDescent="0.35">
      <c r="A31" s="145" t="s">
        <v>149</v>
      </c>
      <c r="B31" s="144"/>
      <c r="C31" s="143"/>
      <c r="D31" s="142"/>
      <c r="E31" s="140"/>
      <c r="F31" s="15"/>
      <c r="G31" s="15"/>
    </row>
    <row r="32" spans="1:7" ht="14.15" customHeight="1" x14ac:dyDescent="0.35">
      <c r="A32" s="150" t="s">
        <v>7</v>
      </c>
      <c r="B32" s="8" t="s">
        <v>12</v>
      </c>
      <c r="C32" s="248">
        <f>24*1.5</f>
        <v>36</v>
      </c>
      <c r="D32" s="247">
        <v>38.950000000000003</v>
      </c>
      <c r="E32" s="140">
        <f t="shared" ref="E32:E38" si="3">+C32*D32</f>
        <v>1402.2</v>
      </c>
      <c r="F32" s="16">
        <f t="shared" ref="F32:F39" si="4">+E32/16</f>
        <v>87.637500000000003</v>
      </c>
      <c r="G32" s="9">
        <f t="shared" ref="G32:G39" si="5">+E32/1500</f>
        <v>0.93480000000000008</v>
      </c>
    </row>
    <row r="33" spans="1:7" ht="16" customHeight="1" x14ac:dyDescent="0.35">
      <c r="A33" s="150" t="s">
        <v>145</v>
      </c>
      <c r="B33" s="8" t="s">
        <v>18</v>
      </c>
      <c r="C33" s="251">
        <v>1</v>
      </c>
      <c r="D33" s="247">
        <v>18</v>
      </c>
      <c r="E33" s="140">
        <f t="shared" si="3"/>
        <v>18</v>
      </c>
      <c r="F33" s="16">
        <f t="shared" si="4"/>
        <v>1.125</v>
      </c>
      <c r="G33" s="9">
        <f t="shared" si="5"/>
        <v>1.2E-2</v>
      </c>
    </row>
    <row r="34" spans="1:7" ht="14.15" customHeight="1" x14ac:dyDescent="0.35">
      <c r="A34" s="148" t="s">
        <v>62</v>
      </c>
      <c r="B34" s="8" t="s">
        <v>13</v>
      </c>
      <c r="C34" s="248">
        <v>28</v>
      </c>
      <c r="D34" s="252">
        <v>0.94</v>
      </c>
      <c r="E34" s="140">
        <f t="shared" si="3"/>
        <v>26.32</v>
      </c>
      <c r="F34" s="16">
        <f t="shared" si="4"/>
        <v>1.645</v>
      </c>
      <c r="G34" s="9">
        <f t="shared" si="5"/>
        <v>1.7546666666666665E-2</v>
      </c>
    </row>
    <row r="35" spans="1:7" ht="14.15" customHeight="1" x14ac:dyDescent="0.35">
      <c r="A35" s="148" t="s">
        <v>8</v>
      </c>
      <c r="B35" s="17" t="s">
        <v>14</v>
      </c>
      <c r="C35" s="251">
        <v>14.8</v>
      </c>
      <c r="D35" s="247">
        <v>7.25</v>
      </c>
      <c r="E35" s="140">
        <f t="shared" si="3"/>
        <v>107.30000000000001</v>
      </c>
      <c r="F35" s="16">
        <f t="shared" si="4"/>
        <v>6.7062500000000007</v>
      </c>
      <c r="G35" s="9">
        <f t="shared" si="5"/>
        <v>7.1533333333333338E-2</v>
      </c>
    </row>
    <row r="36" spans="1:7" ht="14.15" customHeight="1" x14ac:dyDescent="0.35">
      <c r="A36" s="150" t="s">
        <v>9</v>
      </c>
      <c r="B36" s="8" t="s">
        <v>15</v>
      </c>
      <c r="C36" s="248">
        <v>1</v>
      </c>
      <c r="D36" s="247">
        <v>65</v>
      </c>
      <c r="E36" s="140">
        <f t="shared" si="3"/>
        <v>65</v>
      </c>
      <c r="F36" s="16">
        <f t="shared" si="4"/>
        <v>4.0625</v>
      </c>
      <c r="G36" s="9">
        <f t="shared" si="5"/>
        <v>4.3333333333333335E-2</v>
      </c>
    </row>
    <row r="37" spans="1:7" ht="14.15" customHeight="1" x14ac:dyDescent="0.35">
      <c r="A37" s="149" t="s">
        <v>16</v>
      </c>
      <c r="B37" s="8" t="s">
        <v>13</v>
      </c>
      <c r="C37" s="253">
        <f>32*1.5</f>
        <v>48</v>
      </c>
      <c r="D37" s="247">
        <v>1.17</v>
      </c>
      <c r="E37" s="140">
        <f t="shared" si="3"/>
        <v>56.16</v>
      </c>
      <c r="F37" s="16">
        <f t="shared" si="4"/>
        <v>3.51</v>
      </c>
      <c r="G37" s="9">
        <f t="shared" si="5"/>
        <v>3.7440000000000001E-2</v>
      </c>
    </row>
    <row r="38" spans="1:7" ht="14.15" customHeight="1" x14ac:dyDescent="0.35">
      <c r="A38" s="148" t="s">
        <v>10</v>
      </c>
      <c r="B38" s="8" t="s">
        <v>13</v>
      </c>
      <c r="C38" s="248">
        <v>60</v>
      </c>
      <c r="D38" s="247">
        <v>1.65</v>
      </c>
      <c r="E38" s="140">
        <f t="shared" si="3"/>
        <v>99</v>
      </c>
      <c r="F38" s="16">
        <f t="shared" si="4"/>
        <v>6.1875</v>
      </c>
      <c r="G38" s="9">
        <f t="shared" si="5"/>
        <v>6.6000000000000003E-2</v>
      </c>
    </row>
    <row r="39" spans="1:7" ht="14.15" customHeight="1" x14ac:dyDescent="0.35">
      <c r="A39" s="287" t="s">
        <v>61</v>
      </c>
      <c r="B39" s="288"/>
      <c r="C39" s="288"/>
      <c r="D39" s="289"/>
      <c r="E39" s="147">
        <f>SUM(E32:E38)</f>
        <v>1773.98</v>
      </c>
      <c r="F39" s="146">
        <f t="shared" si="4"/>
        <v>110.87375</v>
      </c>
      <c r="G39" s="133">
        <f t="shared" si="5"/>
        <v>1.1826533333333333</v>
      </c>
    </row>
    <row r="40" spans="1:7" ht="14.15" customHeight="1" x14ac:dyDescent="0.35">
      <c r="A40" s="293"/>
      <c r="B40" s="294"/>
      <c r="C40" s="294"/>
      <c r="D40" s="294"/>
      <c r="E40" s="294"/>
      <c r="F40" s="294"/>
      <c r="G40" s="295"/>
    </row>
    <row r="41" spans="1:7" ht="15" customHeight="1" x14ac:dyDescent="0.35">
      <c r="A41" s="145" t="s">
        <v>17</v>
      </c>
      <c r="B41" s="144"/>
      <c r="C41" s="143"/>
      <c r="D41" s="142"/>
      <c r="E41" s="141"/>
      <c r="F41" s="13"/>
      <c r="G41" s="13"/>
    </row>
    <row r="42" spans="1:7" ht="15" customHeight="1" x14ac:dyDescent="0.35">
      <c r="A42" s="139" t="s">
        <v>55</v>
      </c>
      <c r="B42" s="8" t="s">
        <v>24</v>
      </c>
      <c r="C42" s="254">
        <v>16</v>
      </c>
      <c r="D42" s="255">
        <v>9.26</v>
      </c>
      <c r="E42" s="140">
        <f>+C42*D42</f>
        <v>148.16</v>
      </c>
      <c r="F42" s="9">
        <f>+E42/16</f>
        <v>9.26</v>
      </c>
      <c r="G42" s="9">
        <f>+E42/1500</f>
        <v>9.8773333333333338E-2</v>
      </c>
    </row>
    <row r="43" spans="1:7" ht="16" customHeight="1" x14ac:dyDescent="0.35">
      <c r="A43" s="139" t="s">
        <v>60</v>
      </c>
      <c r="B43" s="18" t="s">
        <v>25</v>
      </c>
      <c r="C43" s="256">
        <v>1</v>
      </c>
      <c r="D43" s="257">
        <v>72.22</v>
      </c>
      <c r="E43" s="138">
        <f>+C43*D43</f>
        <v>72.22</v>
      </c>
      <c r="F43" s="9">
        <f>+E43/16</f>
        <v>4.5137499999999999</v>
      </c>
      <c r="G43" s="9">
        <f>+E43/1500</f>
        <v>4.8146666666666664E-2</v>
      </c>
    </row>
    <row r="44" spans="1:7" ht="16.5" x14ac:dyDescent="0.35">
      <c r="A44" s="136" t="s">
        <v>150</v>
      </c>
      <c r="B44" s="19" t="s">
        <v>19</v>
      </c>
      <c r="C44" s="19" t="s">
        <v>19</v>
      </c>
      <c r="D44" s="20"/>
      <c r="E44" s="258">
        <v>175</v>
      </c>
      <c r="F44" s="9">
        <f>+E44/16</f>
        <v>10.9375</v>
      </c>
      <c r="G44" s="9">
        <f>+E44/1500</f>
        <v>0.11666666666666667</v>
      </c>
    </row>
    <row r="45" spans="1:7" ht="16.5" x14ac:dyDescent="0.35">
      <c r="A45" s="136" t="s">
        <v>151</v>
      </c>
      <c r="B45" s="19"/>
      <c r="C45" s="19"/>
      <c r="D45" s="259">
        <v>0.1</v>
      </c>
      <c r="E45" s="137">
        <f>(E23+E29)*D45</f>
        <v>362.11024000000009</v>
      </c>
      <c r="F45" s="9">
        <f>E45/16</f>
        <v>22.631890000000006</v>
      </c>
      <c r="G45" s="9">
        <f>E45/1500</f>
        <v>0.24140682666666671</v>
      </c>
    </row>
    <row r="46" spans="1:7" ht="14.15" customHeight="1" x14ac:dyDescent="0.35">
      <c r="A46" s="136" t="s">
        <v>57</v>
      </c>
      <c r="B46" s="19"/>
      <c r="C46" s="19"/>
      <c r="D46" s="20"/>
      <c r="E46" s="260" t="s">
        <v>56</v>
      </c>
      <c r="F46" s="9"/>
      <c r="G46" s="9"/>
    </row>
    <row r="47" spans="1:7" ht="16.5" x14ac:dyDescent="0.35">
      <c r="A47" s="136" t="s">
        <v>152</v>
      </c>
      <c r="B47" s="21"/>
      <c r="C47" s="21"/>
      <c r="D47" s="261">
        <v>0.09</v>
      </c>
      <c r="E47" s="135">
        <f>+(E23+E39+E42+E44+E48+E43+E29)*D47</f>
        <v>551.74161600000002</v>
      </c>
      <c r="F47" s="9">
        <f>+E47/16</f>
        <v>34.483851000000001</v>
      </c>
      <c r="G47" s="9">
        <f>+E47/1500</f>
        <v>0.36782774400000001</v>
      </c>
    </row>
    <row r="48" spans="1:7" ht="16.5" x14ac:dyDescent="0.35">
      <c r="A48" s="136" t="s">
        <v>153</v>
      </c>
      <c r="B48" s="21"/>
      <c r="C48" s="21"/>
      <c r="D48" s="22" t="s">
        <v>19</v>
      </c>
      <c r="E48" s="135">
        <v>340</v>
      </c>
      <c r="F48" s="9">
        <f>+E48/16</f>
        <v>21.25</v>
      </c>
      <c r="G48" s="9">
        <f>+E48/1500</f>
        <v>0.22666666666666666</v>
      </c>
    </row>
    <row r="49" spans="1:11" ht="14.15" customHeight="1" thickBot="1" x14ac:dyDescent="0.4">
      <c r="A49" s="290" t="s">
        <v>26</v>
      </c>
      <c r="B49" s="291"/>
      <c r="C49" s="291"/>
      <c r="D49" s="292"/>
      <c r="E49" s="134">
        <f>SUM(E42:E48)</f>
        <v>1649.2318560000001</v>
      </c>
      <c r="F49" s="133">
        <f>+E49/16</f>
        <v>103.07699100000001</v>
      </c>
      <c r="G49" s="133">
        <f>+E49/1500</f>
        <v>1.0994879040000001</v>
      </c>
    </row>
    <row r="50" spans="1:11" ht="14.15" customHeight="1" x14ac:dyDescent="0.35">
      <c r="A50" s="284" t="s">
        <v>59</v>
      </c>
      <c r="B50" s="285"/>
      <c r="C50" s="285"/>
      <c r="D50" s="286"/>
      <c r="E50" s="197">
        <f>+E23+E29+E39+E49</f>
        <v>7044.3142560000015</v>
      </c>
      <c r="F50" s="198">
        <f>+E50/16</f>
        <v>440.26964100000009</v>
      </c>
      <c r="G50" s="198">
        <f>+E50/1500</f>
        <v>4.6962095040000014</v>
      </c>
    </row>
    <row r="51" spans="1:11" ht="15" customHeight="1" x14ac:dyDescent="0.45">
      <c r="A51" t="s">
        <v>19</v>
      </c>
      <c r="C51" s="132"/>
      <c r="D51" s="131"/>
      <c r="E51" s="131"/>
    </row>
    <row r="52" spans="1:11" ht="15.5" x14ac:dyDescent="0.35">
      <c r="A52" s="25" t="s">
        <v>116</v>
      </c>
      <c r="B52" s="25"/>
      <c r="C52" s="25"/>
      <c r="D52" s="25"/>
      <c r="E52" s="206"/>
      <c r="F52" s="207"/>
      <c r="G52" s="207"/>
      <c r="H52" s="26"/>
      <c r="I52" s="26"/>
      <c r="J52" s="26"/>
      <c r="K52" s="26"/>
    </row>
    <row r="53" spans="1:11" ht="14.5" customHeight="1" x14ac:dyDescent="0.35">
      <c r="A53" s="263" t="s">
        <v>117</v>
      </c>
      <c r="B53" s="263"/>
      <c r="C53" s="263"/>
      <c r="D53" s="263"/>
      <c r="E53" s="263"/>
      <c r="F53" s="263"/>
      <c r="G53" s="263"/>
      <c r="H53" s="241"/>
      <c r="I53" s="241"/>
      <c r="J53" s="241"/>
      <c r="K53" s="241"/>
    </row>
    <row r="54" spans="1:11" ht="14.5" customHeight="1" x14ac:dyDescent="0.35">
      <c r="A54" s="263"/>
      <c r="B54" s="263"/>
      <c r="C54" s="263"/>
      <c r="D54" s="263"/>
      <c r="E54" s="263"/>
      <c r="F54" s="263"/>
      <c r="G54" s="263"/>
      <c r="H54" s="241"/>
      <c r="I54" s="241"/>
      <c r="J54" s="241"/>
      <c r="K54" s="241"/>
    </row>
    <row r="55" spans="1:11" ht="15.5" x14ac:dyDescent="0.35">
      <c r="A55" s="263" t="s">
        <v>118</v>
      </c>
      <c r="B55" s="263"/>
      <c r="C55" s="263"/>
      <c r="D55" s="263"/>
      <c r="E55" s="263"/>
      <c r="F55" s="263"/>
      <c r="G55" s="263"/>
      <c r="H55" s="243"/>
      <c r="I55" s="243"/>
      <c r="J55" s="243"/>
      <c r="K55" s="243"/>
    </row>
    <row r="56" spans="1:11" ht="15.5" x14ac:dyDescent="0.35">
      <c r="A56" s="263"/>
      <c r="B56" s="263"/>
      <c r="C56" s="263"/>
      <c r="D56" s="263"/>
      <c r="E56" s="263"/>
      <c r="F56" s="263"/>
      <c r="G56" s="263"/>
      <c r="H56" s="242"/>
      <c r="I56" s="242"/>
      <c r="J56" s="242"/>
      <c r="K56" s="242"/>
    </row>
    <row r="57" spans="1:11" ht="14.5" customHeight="1" x14ac:dyDescent="0.35">
      <c r="A57" s="263" t="s">
        <v>119</v>
      </c>
      <c r="B57" s="263"/>
      <c r="C57" s="263"/>
      <c r="D57" s="263"/>
      <c r="E57" s="263"/>
      <c r="F57" s="263"/>
      <c r="G57" s="263"/>
      <c r="H57" s="241"/>
      <c r="I57" s="241"/>
      <c r="J57" s="241"/>
      <c r="K57" s="241"/>
    </row>
    <row r="58" spans="1:11" ht="14.5" customHeight="1" x14ac:dyDescent="0.35">
      <c r="A58" s="263"/>
      <c r="B58" s="263"/>
      <c r="C58" s="263"/>
      <c r="D58" s="263"/>
      <c r="E58" s="263"/>
      <c r="F58" s="263"/>
      <c r="G58" s="263"/>
      <c r="H58" s="241"/>
      <c r="I58" s="241"/>
      <c r="J58" s="241"/>
      <c r="K58" s="241"/>
    </row>
    <row r="59" spans="1:11" ht="14.5" customHeight="1" x14ac:dyDescent="0.35">
      <c r="A59" s="263" t="s">
        <v>120</v>
      </c>
      <c r="B59" s="263"/>
      <c r="C59" s="263"/>
      <c r="D59" s="263"/>
      <c r="E59" s="263"/>
      <c r="F59" s="263"/>
      <c r="G59" s="263"/>
      <c r="H59" s="241"/>
      <c r="I59" s="241"/>
      <c r="J59" s="241"/>
      <c r="K59" s="241"/>
    </row>
    <row r="60" spans="1:11" ht="14.5" customHeight="1" x14ac:dyDescent="0.35">
      <c r="A60" s="263"/>
      <c r="B60" s="263"/>
      <c r="C60" s="263"/>
      <c r="D60" s="263"/>
      <c r="E60" s="263"/>
      <c r="F60" s="263"/>
      <c r="G60" s="263"/>
      <c r="H60" s="241"/>
      <c r="I60" s="241"/>
      <c r="J60" s="241"/>
      <c r="K60" s="241"/>
    </row>
    <row r="61" spans="1:11" ht="14.5" customHeight="1" x14ac:dyDescent="0.35">
      <c r="A61" s="263"/>
      <c r="B61" s="263"/>
      <c r="C61" s="263"/>
      <c r="D61" s="263"/>
      <c r="E61" s="263"/>
      <c r="F61" s="263"/>
      <c r="G61" s="263"/>
      <c r="H61" s="241"/>
      <c r="I61" s="241"/>
      <c r="J61" s="241"/>
      <c r="K61" s="241"/>
    </row>
    <row r="62" spans="1:11" ht="14.5" customHeight="1" x14ac:dyDescent="0.35">
      <c r="A62" s="263"/>
      <c r="B62" s="263"/>
      <c r="C62" s="263"/>
      <c r="D62" s="263"/>
      <c r="E62" s="263"/>
      <c r="F62" s="263"/>
      <c r="G62" s="263"/>
      <c r="H62" s="241"/>
      <c r="I62" s="241"/>
      <c r="J62" s="241"/>
      <c r="K62" s="241"/>
    </row>
    <row r="63" spans="1:11" ht="14.5" customHeight="1" x14ac:dyDescent="0.35">
      <c r="A63" s="263" t="s">
        <v>121</v>
      </c>
      <c r="B63" s="263"/>
      <c r="C63" s="263"/>
      <c r="D63" s="263"/>
      <c r="E63" s="263"/>
      <c r="F63" s="263"/>
      <c r="G63" s="263"/>
      <c r="H63" s="241"/>
      <c r="I63" s="241"/>
      <c r="J63" s="241"/>
      <c r="K63" s="241"/>
    </row>
    <row r="64" spans="1:11" ht="14.5" customHeight="1" x14ac:dyDescent="0.35">
      <c r="A64" s="263"/>
      <c r="B64" s="263"/>
      <c r="C64" s="263"/>
      <c r="D64" s="263"/>
      <c r="E64" s="263"/>
      <c r="F64" s="263"/>
      <c r="G64" s="263"/>
      <c r="H64" s="241"/>
      <c r="I64" s="241"/>
      <c r="J64" s="241"/>
      <c r="K64" s="241"/>
    </row>
    <row r="65" spans="1:11" ht="14.5" customHeight="1" x14ac:dyDescent="0.35">
      <c r="A65" s="263"/>
      <c r="B65" s="263"/>
      <c r="C65" s="263"/>
      <c r="D65" s="263"/>
      <c r="E65" s="263"/>
      <c r="F65" s="263"/>
      <c r="G65" s="263"/>
      <c r="H65" s="241"/>
      <c r="I65" s="241"/>
      <c r="J65" s="241"/>
      <c r="K65" s="241"/>
    </row>
    <row r="66" spans="1:11" ht="15.5" x14ac:dyDescent="0.35">
      <c r="A66" s="263" t="s">
        <v>122</v>
      </c>
      <c r="B66" s="263"/>
      <c r="C66" s="263"/>
      <c r="D66" s="263"/>
      <c r="E66" s="263"/>
      <c r="F66" s="263"/>
      <c r="G66" s="263"/>
      <c r="H66" s="243"/>
      <c r="I66" s="243"/>
      <c r="J66" s="243"/>
      <c r="K66" s="243"/>
    </row>
    <row r="67" spans="1:11" ht="15.5" x14ac:dyDescent="0.35">
      <c r="A67" s="263"/>
      <c r="B67" s="263"/>
      <c r="C67" s="263"/>
      <c r="D67" s="263"/>
      <c r="E67" s="263"/>
      <c r="F67" s="263"/>
      <c r="G67" s="263"/>
      <c r="H67" s="242"/>
      <c r="I67" s="242"/>
      <c r="J67" s="242"/>
      <c r="K67" s="242"/>
    </row>
    <row r="68" spans="1:11" ht="15.5" x14ac:dyDescent="0.35">
      <c r="A68" s="262" t="s">
        <v>123</v>
      </c>
      <c r="B68" s="262"/>
      <c r="C68" s="262"/>
      <c r="D68" s="262"/>
      <c r="E68" s="262"/>
      <c r="F68" s="262"/>
      <c r="G68" s="262"/>
      <c r="H68" s="243"/>
      <c r="I68" s="243"/>
      <c r="J68" s="243"/>
      <c r="K68" s="243"/>
    </row>
    <row r="69" spans="1:11" ht="14.5" customHeight="1" x14ac:dyDescent="0.35">
      <c r="A69" s="263" t="s">
        <v>124</v>
      </c>
      <c r="B69" s="263"/>
      <c r="C69" s="263"/>
      <c r="D69" s="263"/>
      <c r="E69" s="263"/>
      <c r="F69" s="263"/>
      <c r="G69" s="263"/>
      <c r="H69" s="241"/>
      <c r="I69" s="241"/>
      <c r="J69" s="241"/>
      <c r="K69" s="241"/>
    </row>
    <row r="70" spans="1:11" ht="14.5" customHeight="1" x14ac:dyDescent="0.35">
      <c r="A70" s="263"/>
      <c r="B70" s="263"/>
      <c r="C70" s="263"/>
      <c r="D70" s="263"/>
      <c r="E70" s="263"/>
      <c r="F70" s="263"/>
      <c r="G70" s="263"/>
      <c r="H70" s="241"/>
      <c r="I70" s="241"/>
      <c r="J70" s="241"/>
      <c r="K70" s="241"/>
    </row>
    <row r="71" spans="1:11" x14ac:dyDescent="0.35">
      <c r="A71" s="263"/>
      <c r="B71" s="263"/>
      <c r="C71" s="263"/>
      <c r="D71" s="263"/>
      <c r="E71" s="263"/>
      <c r="F71" s="263"/>
      <c r="G71" s="263"/>
    </row>
    <row r="72" spans="1:11" ht="15.5" x14ac:dyDescent="0.35">
      <c r="A72" s="262" t="s">
        <v>154</v>
      </c>
      <c r="B72" s="262"/>
      <c r="C72" s="262"/>
      <c r="D72" s="262"/>
      <c r="E72" s="262"/>
      <c r="F72" s="262"/>
      <c r="G72" s="262"/>
    </row>
    <row r="75" spans="1:11" ht="15.5" x14ac:dyDescent="0.35">
      <c r="A75" s="25" t="s">
        <v>125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</row>
    <row r="76" spans="1:11" ht="15.5" x14ac:dyDescent="0.35">
      <c r="A76" s="208" t="s">
        <v>138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</row>
    <row r="77" spans="1:11" ht="15.5" x14ac:dyDescent="0.35">
      <c r="A77" s="209" t="s">
        <v>139</v>
      </c>
      <c r="B77" s="26"/>
      <c r="C77" s="26"/>
      <c r="D77" s="26"/>
      <c r="E77" s="26"/>
      <c r="F77" s="26"/>
      <c r="G77" s="26"/>
      <c r="H77" s="26"/>
      <c r="I77" s="26"/>
      <c r="J77" s="26"/>
      <c r="K77" s="26"/>
    </row>
    <row r="78" spans="1:11" ht="15.5" x14ac:dyDescent="0.3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</row>
    <row r="79" spans="1:11" ht="15.5" x14ac:dyDescent="0.35">
      <c r="A79" s="25" t="s">
        <v>140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</row>
    <row r="80" spans="1:11" ht="15.5" x14ac:dyDescent="0.35">
      <c r="A80" s="208" t="s">
        <v>126</v>
      </c>
      <c r="B80" s="26"/>
      <c r="C80" s="26"/>
      <c r="D80" s="26"/>
      <c r="E80" s="26"/>
      <c r="F80" s="26"/>
      <c r="G80" s="26"/>
      <c r="H80" s="26"/>
      <c r="I80" s="26"/>
      <c r="J80" s="26"/>
      <c r="K80" s="26"/>
    </row>
    <row r="81" spans="1:11" ht="15.5" x14ac:dyDescent="0.35">
      <c r="A81" s="209" t="s">
        <v>127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</row>
    <row r="82" spans="1:11" ht="15.5" x14ac:dyDescent="0.3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</row>
    <row r="83" spans="1:11" ht="15.5" x14ac:dyDescent="0.3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</row>
    <row r="84" spans="1:11" ht="15.5" x14ac:dyDescent="0.35">
      <c r="A84" s="265" t="s">
        <v>141</v>
      </c>
      <c r="B84" s="265"/>
      <c r="C84" s="265"/>
      <c r="D84" s="265" t="s">
        <v>130</v>
      </c>
      <c r="E84" s="265"/>
      <c r="F84" s="265"/>
      <c r="G84" s="265"/>
      <c r="H84" s="243"/>
      <c r="I84" s="243"/>
      <c r="J84" s="243"/>
      <c r="K84" s="243"/>
    </row>
    <row r="86" spans="1:11" ht="14.5" customHeight="1" x14ac:dyDescent="0.35">
      <c r="A86" s="264" t="s">
        <v>128</v>
      </c>
      <c r="B86" s="264"/>
      <c r="C86" s="264"/>
      <c r="D86" s="264"/>
      <c r="E86" s="264"/>
      <c r="F86" s="264"/>
      <c r="G86" s="264"/>
      <c r="H86" s="210"/>
      <c r="I86" s="210"/>
      <c r="J86" s="210"/>
      <c r="K86" s="210"/>
    </row>
    <row r="87" spans="1:11" ht="14.5" customHeight="1" x14ac:dyDescent="0.35">
      <c r="A87" s="264"/>
      <c r="B87" s="264"/>
      <c r="C87" s="264"/>
      <c r="D87" s="264"/>
      <c r="E87" s="264"/>
      <c r="F87" s="264"/>
      <c r="G87" s="264"/>
      <c r="H87" s="210"/>
      <c r="I87" s="210"/>
      <c r="J87" s="210"/>
      <c r="K87" s="210"/>
    </row>
    <row r="88" spans="1:11" ht="14.5" customHeight="1" x14ac:dyDescent="0.35">
      <c r="A88" s="264"/>
      <c r="B88" s="264"/>
      <c r="C88" s="264"/>
      <c r="D88" s="264"/>
      <c r="E88" s="264"/>
      <c r="F88" s="264"/>
      <c r="G88" s="264"/>
      <c r="H88" s="210"/>
      <c r="I88" s="210"/>
      <c r="J88" s="210"/>
      <c r="K88" s="210"/>
    </row>
    <row r="89" spans="1:11" ht="14.5" customHeight="1" x14ac:dyDescent="0.35">
      <c r="A89" s="264"/>
      <c r="B89" s="264"/>
      <c r="C89" s="264"/>
      <c r="D89" s="264"/>
      <c r="E89" s="264"/>
      <c r="F89" s="264"/>
      <c r="G89" s="264"/>
      <c r="H89" s="210"/>
      <c r="I89" s="210"/>
      <c r="J89" s="210"/>
      <c r="K89" s="210"/>
    </row>
    <row r="90" spans="1:11" ht="14.5" customHeight="1" x14ac:dyDescent="0.35">
      <c r="A90" s="264"/>
      <c r="B90" s="264"/>
      <c r="C90" s="264"/>
      <c r="D90" s="264"/>
      <c r="E90" s="264"/>
      <c r="F90" s="264"/>
      <c r="G90" s="264"/>
      <c r="H90" s="210"/>
      <c r="I90" s="210"/>
      <c r="J90" s="210"/>
      <c r="K90" s="210"/>
    </row>
    <row r="91" spans="1:11" x14ac:dyDescent="0.35">
      <c r="A91" s="264"/>
      <c r="B91" s="264"/>
      <c r="C91" s="264"/>
      <c r="D91" s="264"/>
      <c r="E91" s="264"/>
      <c r="F91" s="264"/>
      <c r="G91" s="264"/>
    </row>
    <row r="93" spans="1:11" ht="14.5" customHeight="1" x14ac:dyDescent="0.35">
      <c r="A93" s="264" t="s">
        <v>129</v>
      </c>
      <c r="B93" s="264"/>
      <c r="C93" s="264"/>
      <c r="D93" s="264"/>
      <c r="E93" s="264"/>
      <c r="F93" s="264"/>
      <c r="G93" s="264"/>
      <c r="H93" s="210"/>
      <c r="I93" s="210"/>
      <c r="J93" s="210"/>
      <c r="K93" s="210"/>
    </row>
    <row r="94" spans="1:11" ht="14.5" customHeight="1" x14ac:dyDescent="0.35">
      <c r="A94" s="264"/>
      <c r="B94" s="264"/>
      <c r="C94" s="264"/>
      <c r="D94" s="264"/>
      <c r="E94" s="264"/>
      <c r="F94" s="264"/>
      <c r="G94" s="264"/>
      <c r="H94" s="210"/>
      <c r="I94" s="210"/>
      <c r="J94" s="210"/>
      <c r="K94" s="210"/>
    </row>
  </sheetData>
  <sheetProtection sheet="1" objects="1" scenarios="1"/>
  <mergeCells count="27">
    <mergeCell ref="A40:G40"/>
    <mergeCell ref="A66:G67"/>
    <mergeCell ref="A68:G68"/>
    <mergeCell ref="A69:G71"/>
    <mergeCell ref="A1:G1"/>
    <mergeCell ref="A2:G2"/>
    <mergeCell ref="A3:G3"/>
    <mergeCell ref="A5:G5"/>
    <mergeCell ref="A6:G6"/>
    <mergeCell ref="A7:G7"/>
    <mergeCell ref="A9:G9"/>
    <mergeCell ref="A50:D50"/>
    <mergeCell ref="A23:D23"/>
    <mergeCell ref="A39:D39"/>
    <mergeCell ref="A49:D49"/>
    <mergeCell ref="A24:G24"/>
    <mergeCell ref="A30:G30"/>
    <mergeCell ref="A53:G54"/>
    <mergeCell ref="A55:G56"/>
    <mergeCell ref="A57:G58"/>
    <mergeCell ref="A59:G62"/>
    <mergeCell ref="A63:G65"/>
    <mergeCell ref="A86:G91"/>
    <mergeCell ref="A93:G94"/>
    <mergeCell ref="A72:G72"/>
    <mergeCell ref="A84:C84"/>
    <mergeCell ref="D84:G84"/>
  </mergeCells>
  <printOptions horizontalCentered="1"/>
  <pageMargins left="0.7" right="0.7" top="0" bottom="0" header="0" footer="0"/>
  <pageSetup scale="74" fitToWidth="2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F1C99-AE84-4CEB-A901-309F0575CE99}">
  <dimension ref="A1:H94"/>
  <sheetViews>
    <sheetView zoomScale="77" zoomScaleNormal="77" workbookViewId="0">
      <selection activeCell="D63" sqref="D63 G63"/>
    </sheetView>
  </sheetViews>
  <sheetFormatPr defaultRowHeight="14.5" x14ac:dyDescent="0.35"/>
  <cols>
    <col min="1" max="1" width="26.7265625" customWidth="1"/>
    <col min="3" max="3" width="10" customWidth="1"/>
    <col min="4" max="4" width="15.26953125" customWidth="1"/>
    <col min="6" max="6" width="9.453125" customWidth="1"/>
    <col min="7" max="7" width="12.1796875" customWidth="1"/>
    <col min="8" max="8" width="26.81640625" customWidth="1"/>
    <col min="9" max="9" width="15.54296875" customWidth="1"/>
    <col min="10" max="10" width="13.453125" customWidth="1"/>
  </cols>
  <sheetData>
    <row r="1" spans="1:8" ht="15.5" x14ac:dyDescent="0.35">
      <c r="A1" s="283" t="s">
        <v>103</v>
      </c>
      <c r="B1" s="283"/>
      <c r="C1" s="283"/>
      <c r="D1" s="283"/>
      <c r="E1" s="283"/>
      <c r="F1" s="283"/>
      <c r="G1" s="283"/>
      <c r="H1" s="283"/>
    </row>
    <row r="2" spans="1:8" ht="15.5" x14ac:dyDescent="0.35">
      <c r="A2" s="283" t="s">
        <v>104</v>
      </c>
      <c r="B2" s="283"/>
      <c r="C2" s="283"/>
      <c r="D2" s="283"/>
      <c r="E2" s="283"/>
      <c r="F2" s="283"/>
      <c r="G2" s="283"/>
      <c r="H2" s="283"/>
    </row>
    <row r="3" spans="1:8" ht="15.5" x14ac:dyDescent="0.35">
      <c r="A3" s="283" t="s">
        <v>105</v>
      </c>
      <c r="B3" s="283"/>
      <c r="C3" s="283"/>
      <c r="D3" s="283"/>
      <c r="E3" s="283"/>
      <c r="F3" s="283"/>
      <c r="G3" s="283"/>
      <c r="H3" s="283"/>
    </row>
    <row r="4" spans="1:8" ht="15.5" x14ac:dyDescent="0.35">
      <c r="A4" s="199"/>
      <c r="B4" s="199"/>
      <c r="C4" s="199"/>
      <c r="D4" s="199"/>
      <c r="E4" s="199"/>
      <c r="F4" s="199"/>
      <c r="G4" s="26"/>
    </row>
    <row r="5" spans="1:8" ht="15.5" x14ac:dyDescent="0.35">
      <c r="A5" s="199"/>
      <c r="B5" s="199"/>
      <c r="C5" s="199"/>
      <c r="D5" s="199"/>
      <c r="E5" s="199"/>
      <c r="F5" s="199"/>
      <c r="G5" s="26"/>
    </row>
    <row r="6" spans="1:8" ht="15.5" x14ac:dyDescent="0.35">
      <c r="A6" s="199"/>
      <c r="B6" s="199"/>
      <c r="C6" s="199"/>
      <c r="D6" s="199"/>
      <c r="E6" s="199"/>
      <c r="F6" s="199"/>
      <c r="G6" s="26"/>
    </row>
    <row r="7" spans="1:8" ht="15.5" customHeight="1" x14ac:dyDescent="0.35">
      <c r="A7" s="296" t="s">
        <v>155</v>
      </c>
      <c r="B7" s="296"/>
      <c r="C7" s="296"/>
      <c r="D7" s="296"/>
      <c r="E7" s="296"/>
      <c r="F7" s="296"/>
      <c r="G7" s="296"/>
      <c r="H7" s="296"/>
    </row>
    <row r="8" spans="1:8" ht="15.5" customHeight="1" x14ac:dyDescent="0.35">
      <c r="A8" s="296"/>
      <c r="B8" s="296"/>
      <c r="C8" s="296"/>
      <c r="D8" s="296"/>
      <c r="E8" s="296"/>
      <c r="F8" s="296"/>
      <c r="G8" s="296"/>
      <c r="H8" s="296"/>
    </row>
    <row r="9" spans="1:8" ht="15.5" x14ac:dyDescent="0.35">
      <c r="A9" s="283" t="s">
        <v>143</v>
      </c>
      <c r="B9" s="283"/>
      <c r="C9" s="283"/>
      <c r="D9" s="283"/>
      <c r="E9" s="283"/>
      <c r="F9" s="283"/>
      <c r="G9" s="283"/>
      <c r="H9" s="283"/>
    </row>
    <row r="10" spans="1:8" ht="15.5" x14ac:dyDescent="0.35">
      <c r="A10" s="275" t="s">
        <v>156</v>
      </c>
      <c r="B10" s="275"/>
      <c r="C10" s="275"/>
      <c r="D10" s="275"/>
      <c r="E10" s="275"/>
      <c r="F10" s="275"/>
      <c r="G10" s="275"/>
      <c r="H10" s="275"/>
    </row>
    <row r="11" spans="1:8" ht="16" thickBot="1" x14ac:dyDescent="0.4">
      <c r="A11" s="26"/>
      <c r="B11" s="26"/>
      <c r="C11" s="26"/>
      <c r="D11" s="26"/>
      <c r="E11" s="26"/>
      <c r="F11" s="26"/>
      <c r="G11" s="26"/>
      <c r="H11" s="196"/>
    </row>
    <row r="12" spans="1:8" ht="15" thickBot="1" x14ac:dyDescent="0.4">
      <c r="A12" s="195" t="s">
        <v>102</v>
      </c>
      <c r="B12" s="194" t="s">
        <v>101</v>
      </c>
      <c r="C12" s="194"/>
      <c r="D12" s="194"/>
      <c r="E12" s="194"/>
      <c r="F12" s="194"/>
      <c r="G12" s="194"/>
      <c r="H12" s="193"/>
    </row>
    <row r="13" spans="1:8" x14ac:dyDescent="0.35">
      <c r="A13" s="189" t="s">
        <v>19</v>
      </c>
      <c r="B13" s="188" t="s">
        <v>93</v>
      </c>
      <c r="C13" s="188" t="s">
        <v>94</v>
      </c>
      <c r="D13" s="188" t="s">
        <v>91</v>
      </c>
      <c r="E13" s="188" t="s">
        <v>93</v>
      </c>
      <c r="F13" s="188" t="s">
        <v>92</v>
      </c>
      <c r="G13" s="188" t="s">
        <v>91</v>
      </c>
      <c r="H13" s="187" t="s">
        <v>90</v>
      </c>
    </row>
    <row r="14" spans="1:8" x14ac:dyDescent="0.35">
      <c r="A14" s="186"/>
      <c r="B14" s="184" t="s">
        <v>85</v>
      </c>
      <c r="C14" s="184" t="s">
        <v>85</v>
      </c>
      <c r="D14" s="184" t="s">
        <v>89</v>
      </c>
      <c r="E14" s="184" t="s">
        <v>88</v>
      </c>
      <c r="F14" s="184" t="s">
        <v>88</v>
      </c>
      <c r="G14" s="184" t="s">
        <v>87</v>
      </c>
      <c r="H14" s="183" t="s">
        <v>86</v>
      </c>
    </row>
    <row r="15" spans="1:8" ht="15" thickBot="1" x14ac:dyDescent="0.4">
      <c r="A15" s="186"/>
      <c r="B15" s="184"/>
      <c r="C15" s="184" t="s">
        <v>19</v>
      </c>
      <c r="D15" s="185"/>
      <c r="E15" s="184" t="s">
        <v>85</v>
      </c>
      <c r="F15" s="184" t="s">
        <v>85</v>
      </c>
      <c r="G15" s="184" t="s">
        <v>84</v>
      </c>
      <c r="H15" s="183" t="s">
        <v>100</v>
      </c>
    </row>
    <row r="16" spans="1:8" ht="15" thickBot="1" x14ac:dyDescent="0.4">
      <c r="A16" s="195" t="s">
        <v>99</v>
      </c>
      <c r="B16" s="194"/>
      <c r="C16" s="194"/>
      <c r="D16" s="194"/>
      <c r="E16" s="194"/>
      <c r="F16" s="194"/>
      <c r="G16" s="194"/>
      <c r="H16" s="193"/>
    </row>
    <row r="17" spans="1:8" x14ac:dyDescent="0.35">
      <c r="A17" s="176" t="s">
        <v>98</v>
      </c>
      <c r="B17" s="175">
        <v>14.58</v>
      </c>
      <c r="C17" s="175">
        <f>+B17*22</f>
        <v>320.76</v>
      </c>
      <c r="D17" s="175">
        <f>+C17*11.2</f>
        <v>3592.5119999999997</v>
      </c>
      <c r="E17" s="175">
        <v>9.9</v>
      </c>
      <c r="F17" s="175">
        <f>+E17*22</f>
        <v>217.8</v>
      </c>
      <c r="G17" s="175">
        <f>+F17*4.8</f>
        <v>1045.44</v>
      </c>
      <c r="H17" s="174">
        <f>+D17+G17</f>
        <v>4637.9519999999993</v>
      </c>
    </row>
    <row r="18" spans="1:8" x14ac:dyDescent="0.35">
      <c r="A18" s="171" t="s">
        <v>97</v>
      </c>
      <c r="B18" s="173"/>
      <c r="C18" s="173"/>
      <c r="D18" s="173"/>
      <c r="E18" s="173"/>
      <c r="F18" s="173"/>
      <c r="G18" s="173"/>
      <c r="H18" s="172"/>
    </row>
    <row r="19" spans="1:8" x14ac:dyDescent="0.35">
      <c r="A19" s="171"/>
      <c r="B19" s="173"/>
      <c r="C19" s="173"/>
      <c r="D19" s="173"/>
      <c r="E19" s="173"/>
      <c r="F19" s="173"/>
      <c r="G19" s="173"/>
      <c r="H19" s="172"/>
    </row>
    <row r="20" spans="1:8" x14ac:dyDescent="0.35">
      <c r="A20" s="171" t="s">
        <v>79</v>
      </c>
      <c r="B20" s="173"/>
      <c r="C20" s="173"/>
      <c r="D20" s="173"/>
      <c r="E20" s="173"/>
      <c r="F20" s="173"/>
      <c r="G20" s="173"/>
      <c r="H20" s="172">
        <v>5281.17</v>
      </c>
    </row>
    <row r="21" spans="1:8" x14ac:dyDescent="0.35">
      <c r="A21" s="171" t="s">
        <v>78</v>
      </c>
      <c r="B21" s="173"/>
      <c r="C21" s="173"/>
      <c r="D21" s="173"/>
      <c r="E21" s="173"/>
      <c r="F21" s="173"/>
      <c r="G21" s="173"/>
      <c r="H21" s="172"/>
    </row>
    <row r="22" spans="1:8" x14ac:dyDescent="0.35">
      <c r="A22" s="171" t="s">
        <v>77</v>
      </c>
      <c r="B22" s="173"/>
      <c r="C22" s="173"/>
      <c r="D22" s="173"/>
      <c r="E22" s="173"/>
      <c r="F22" s="173"/>
      <c r="G22" s="173"/>
      <c r="H22" s="172"/>
    </row>
    <row r="23" spans="1:8" x14ac:dyDescent="0.35">
      <c r="A23" s="171" t="s">
        <v>76</v>
      </c>
      <c r="B23" s="173"/>
      <c r="C23" s="173"/>
      <c r="D23" s="173"/>
      <c r="E23" s="173"/>
      <c r="F23" s="173"/>
      <c r="G23" s="173"/>
      <c r="H23" s="172"/>
    </row>
    <row r="24" spans="1:8" x14ac:dyDescent="0.35">
      <c r="A24" s="171"/>
      <c r="B24" s="173"/>
      <c r="C24" s="173"/>
      <c r="D24" s="173"/>
      <c r="E24" s="173"/>
      <c r="F24" s="173"/>
      <c r="G24" s="173"/>
      <c r="H24" s="172"/>
    </row>
    <row r="25" spans="1:8" x14ac:dyDescent="0.35">
      <c r="A25" s="171" t="s">
        <v>75</v>
      </c>
      <c r="B25" s="173"/>
      <c r="C25" s="173"/>
      <c r="D25" s="173"/>
      <c r="E25" s="173"/>
      <c r="F25" s="173"/>
      <c r="G25" s="173"/>
      <c r="H25" s="172">
        <f>+H17-H20</f>
        <v>-643.21800000000076</v>
      </c>
    </row>
    <row r="26" spans="1:8" x14ac:dyDescent="0.35">
      <c r="A26" s="171"/>
      <c r="B26" s="173"/>
      <c r="C26" s="173"/>
      <c r="D26" s="173"/>
      <c r="E26" s="173"/>
      <c r="F26" s="173"/>
      <c r="G26" s="173"/>
      <c r="H26" s="172"/>
    </row>
    <row r="27" spans="1:8" ht="15" thickBot="1" x14ac:dyDescent="0.4">
      <c r="A27" s="167" t="s">
        <v>74</v>
      </c>
      <c r="B27" s="192"/>
      <c r="C27" s="192"/>
      <c r="D27" s="192"/>
      <c r="E27" s="192"/>
      <c r="F27" s="192"/>
      <c r="G27" s="192"/>
      <c r="H27" s="191">
        <f>+H17/H20</f>
        <v>0.87820539766756212</v>
      </c>
    </row>
    <row r="28" spans="1:8" x14ac:dyDescent="0.35">
      <c r="A28" s="189" t="s">
        <v>19</v>
      </c>
      <c r="B28" s="188" t="s">
        <v>93</v>
      </c>
      <c r="C28" s="188" t="s">
        <v>94</v>
      </c>
      <c r="D28" s="188" t="s">
        <v>91</v>
      </c>
      <c r="E28" s="188" t="s">
        <v>93</v>
      </c>
      <c r="F28" s="188" t="s">
        <v>92</v>
      </c>
      <c r="G28" s="188" t="s">
        <v>91</v>
      </c>
      <c r="H28" s="187" t="s">
        <v>90</v>
      </c>
    </row>
    <row r="29" spans="1:8" x14ac:dyDescent="0.35">
      <c r="A29" s="186"/>
      <c r="B29" s="184" t="s">
        <v>85</v>
      </c>
      <c r="C29" s="184" t="s">
        <v>85</v>
      </c>
      <c r="D29" s="184" t="s">
        <v>89</v>
      </c>
      <c r="E29" s="184" t="s">
        <v>88</v>
      </c>
      <c r="F29" s="184" t="s">
        <v>88</v>
      </c>
      <c r="G29" s="184" t="s">
        <v>87</v>
      </c>
      <c r="H29" s="183" t="s">
        <v>86</v>
      </c>
    </row>
    <row r="30" spans="1:8" x14ac:dyDescent="0.35">
      <c r="A30" s="186"/>
      <c r="B30" s="184"/>
      <c r="C30" s="184" t="s">
        <v>19</v>
      </c>
      <c r="D30" s="185"/>
      <c r="E30" s="184" t="s">
        <v>85</v>
      </c>
      <c r="F30" s="184" t="s">
        <v>85</v>
      </c>
      <c r="G30" s="184" t="s">
        <v>84</v>
      </c>
      <c r="H30" s="183" t="s">
        <v>83</v>
      </c>
    </row>
    <row r="31" spans="1:8" ht="15" thickBot="1" x14ac:dyDescent="0.4">
      <c r="A31" s="179"/>
      <c r="B31" s="181"/>
      <c r="C31" s="181"/>
      <c r="D31" s="182"/>
      <c r="E31" s="181"/>
      <c r="F31" s="181"/>
      <c r="G31" s="181"/>
      <c r="H31" s="180" t="s">
        <v>82</v>
      </c>
    </row>
    <row r="32" spans="1:8" ht="15" thickBot="1" x14ac:dyDescent="0.4">
      <c r="A32" s="179" t="s">
        <v>96</v>
      </c>
      <c r="B32" s="178"/>
      <c r="C32" s="178"/>
      <c r="D32" s="178"/>
      <c r="E32" s="178"/>
      <c r="F32" s="178"/>
      <c r="G32" s="178"/>
      <c r="H32" s="177"/>
    </row>
    <row r="33" spans="1:8" x14ac:dyDescent="0.35">
      <c r="A33" s="176" t="s">
        <v>80</v>
      </c>
      <c r="B33" s="175">
        <v>18.850000000000001</v>
      </c>
      <c r="C33" s="175">
        <f>+B33*22</f>
        <v>414.70000000000005</v>
      </c>
      <c r="D33" s="175">
        <f>+C33*11.2</f>
        <v>4644.6400000000003</v>
      </c>
      <c r="E33" s="175">
        <v>10.5</v>
      </c>
      <c r="F33" s="175">
        <f>+E33*22</f>
        <v>231</v>
      </c>
      <c r="G33" s="175">
        <f>+F33*4.8</f>
        <v>1108.8</v>
      </c>
      <c r="H33" s="174">
        <f>+D33+G33</f>
        <v>5753.4400000000005</v>
      </c>
    </row>
    <row r="34" spans="1:8" x14ac:dyDescent="0.35">
      <c r="A34" s="171"/>
      <c r="B34" s="173"/>
      <c r="C34" s="173"/>
      <c r="D34" s="173"/>
      <c r="E34" s="173"/>
      <c r="F34" s="173"/>
      <c r="G34" s="173"/>
      <c r="H34" s="172"/>
    </row>
    <row r="35" spans="1:8" x14ac:dyDescent="0.35">
      <c r="A35" s="171" t="s">
        <v>79</v>
      </c>
      <c r="B35" s="173"/>
      <c r="C35" s="173"/>
      <c r="D35" s="173"/>
      <c r="E35" s="173"/>
      <c r="F35" s="173"/>
      <c r="G35" s="173"/>
      <c r="H35" s="172">
        <v>5281.17</v>
      </c>
    </row>
    <row r="36" spans="1:8" x14ac:dyDescent="0.35">
      <c r="A36" s="171" t="s">
        <v>78</v>
      </c>
      <c r="B36" s="173"/>
      <c r="C36" s="173"/>
      <c r="D36" s="173"/>
      <c r="E36" s="173"/>
      <c r="F36" s="173"/>
      <c r="G36" s="173"/>
      <c r="H36" s="172"/>
    </row>
    <row r="37" spans="1:8" x14ac:dyDescent="0.35">
      <c r="A37" s="171" t="s">
        <v>77</v>
      </c>
      <c r="B37" s="173"/>
      <c r="C37" s="173"/>
      <c r="D37" s="173"/>
      <c r="E37" s="173"/>
      <c r="F37" s="173"/>
      <c r="G37" s="173"/>
      <c r="H37" s="172"/>
    </row>
    <row r="38" spans="1:8" x14ac:dyDescent="0.35">
      <c r="A38" s="171" t="s">
        <v>76</v>
      </c>
      <c r="B38" s="173"/>
      <c r="C38" s="173"/>
      <c r="D38" s="173"/>
      <c r="E38" s="173"/>
      <c r="F38" s="173"/>
      <c r="G38" s="173"/>
      <c r="H38" s="172"/>
    </row>
    <row r="39" spans="1:8" x14ac:dyDescent="0.35">
      <c r="A39" s="171"/>
      <c r="B39" s="173"/>
      <c r="C39" s="173"/>
      <c r="D39" s="173"/>
      <c r="E39" s="173"/>
      <c r="F39" s="173"/>
      <c r="G39" s="173"/>
      <c r="H39" s="172"/>
    </row>
    <row r="40" spans="1:8" x14ac:dyDescent="0.35">
      <c r="A40" s="171" t="s">
        <v>75</v>
      </c>
      <c r="B40" s="173"/>
      <c r="C40" s="173"/>
      <c r="D40" s="173"/>
      <c r="E40" s="173"/>
      <c r="F40" s="173"/>
      <c r="G40" s="173"/>
      <c r="H40" s="172">
        <f>+H33-H35</f>
        <v>472.27000000000044</v>
      </c>
    </row>
    <row r="41" spans="1:8" x14ac:dyDescent="0.35">
      <c r="A41" s="171"/>
      <c r="B41" s="173"/>
      <c r="C41" s="173"/>
      <c r="D41" s="173"/>
      <c r="E41" s="173"/>
      <c r="F41" s="173"/>
      <c r="G41" s="173"/>
      <c r="H41" s="172"/>
    </row>
    <row r="42" spans="1:8" ht="15" thickBot="1" x14ac:dyDescent="0.4">
      <c r="A42" s="171" t="s">
        <v>74</v>
      </c>
      <c r="B42" s="173"/>
      <c r="C42" s="173"/>
      <c r="D42" s="173"/>
      <c r="E42" s="173"/>
      <c r="F42" s="173"/>
      <c r="G42" s="173"/>
      <c r="H42" s="190">
        <f>+H33/H35</f>
        <v>1.0894252599329317</v>
      </c>
    </row>
    <row r="43" spans="1:8" x14ac:dyDescent="0.35">
      <c r="A43" s="189" t="s">
        <v>19</v>
      </c>
      <c r="B43" s="188" t="s">
        <v>93</v>
      </c>
      <c r="C43" s="188" t="s">
        <v>94</v>
      </c>
      <c r="D43" s="188" t="s">
        <v>91</v>
      </c>
      <c r="E43" s="188" t="s">
        <v>93</v>
      </c>
      <c r="F43" s="188" t="s">
        <v>92</v>
      </c>
      <c r="G43" s="188" t="s">
        <v>91</v>
      </c>
      <c r="H43" s="187" t="s">
        <v>90</v>
      </c>
    </row>
    <row r="44" spans="1:8" x14ac:dyDescent="0.35">
      <c r="A44" s="186"/>
      <c r="B44" s="184" t="s">
        <v>85</v>
      </c>
      <c r="C44" s="184" t="s">
        <v>85</v>
      </c>
      <c r="D44" s="184" t="s">
        <v>89</v>
      </c>
      <c r="E44" s="184" t="s">
        <v>88</v>
      </c>
      <c r="F44" s="184" t="s">
        <v>88</v>
      </c>
      <c r="G44" s="184" t="s">
        <v>87</v>
      </c>
      <c r="H44" s="183" t="s">
        <v>86</v>
      </c>
    </row>
    <row r="45" spans="1:8" x14ac:dyDescent="0.35">
      <c r="A45" s="186"/>
      <c r="B45" s="184"/>
      <c r="C45" s="184" t="s">
        <v>19</v>
      </c>
      <c r="D45" s="185"/>
      <c r="E45" s="184" t="s">
        <v>85</v>
      </c>
      <c r="F45" s="184" t="s">
        <v>85</v>
      </c>
      <c r="G45" s="184" t="s">
        <v>84</v>
      </c>
      <c r="H45" s="183" t="s">
        <v>83</v>
      </c>
    </row>
    <row r="46" spans="1:8" ht="15" thickBot="1" x14ac:dyDescent="0.4">
      <c r="A46" s="179"/>
      <c r="B46" s="181"/>
      <c r="C46" s="181"/>
      <c r="D46" s="182"/>
      <c r="E46" s="181"/>
      <c r="F46" s="181"/>
      <c r="G46" s="181"/>
      <c r="H46" s="180" t="s">
        <v>82</v>
      </c>
    </row>
    <row r="47" spans="1:8" ht="15" thickBot="1" x14ac:dyDescent="0.4">
      <c r="A47" s="179" t="s">
        <v>95</v>
      </c>
      <c r="B47" s="178"/>
      <c r="C47" s="178"/>
      <c r="D47" s="178"/>
      <c r="E47" s="178"/>
      <c r="F47" s="178"/>
      <c r="G47" s="178"/>
      <c r="H47" s="177"/>
    </row>
    <row r="48" spans="1:8" x14ac:dyDescent="0.35">
      <c r="A48" s="176" t="s">
        <v>80</v>
      </c>
      <c r="B48" s="175">
        <v>20</v>
      </c>
      <c r="C48" s="175">
        <f>+B48*22</f>
        <v>440</v>
      </c>
      <c r="D48" s="175">
        <f>+C48*11.2</f>
        <v>4928</v>
      </c>
      <c r="E48" s="175">
        <v>11</v>
      </c>
      <c r="F48" s="175">
        <f>+E48*22</f>
        <v>242</v>
      </c>
      <c r="G48" s="175">
        <f>+F48*4.8</f>
        <v>1161.5999999999999</v>
      </c>
      <c r="H48" s="174">
        <f>+D48+G48</f>
        <v>6089.6</v>
      </c>
    </row>
    <row r="49" spans="1:8" x14ac:dyDescent="0.35">
      <c r="A49" s="171"/>
      <c r="B49" s="173"/>
      <c r="C49" s="173"/>
      <c r="D49" s="173"/>
      <c r="E49" s="173"/>
      <c r="F49" s="173"/>
      <c r="G49" s="173"/>
      <c r="H49" s="172"/>
    </row>
    <row r="50" spans="1:8" x14ac:dyDescent="0.35">
      <c r="A50" s="171" t="s">
        <v>79</v>
      </c>
      <c r="B50" s="173"/>
      <c r="C50" s="173"/>
      <c r="D50" s="173"/>
      <c r="E50" s="173"/>
      <c r="F50" s="173"/>
      <c r="G50" s="173"/>
      <c r="H50" s="172">
        <v>5281.17</v>
      </c>
    </row>
    <row r="51" spans="1:8" x14ac:dyDescent="0.35">
      <c r="A51" s="171" t="s">
        <v>78</v>
      </c>
      <c r="B51" s="173"/>
      <c r="C51" s="173"/>
      <c r="D51" s="173"/>
      <c r="E51" s="173"/>
      <c r="F51" s="173"/>
      <c r="G51" s="173"/>
      <c r="H51" s="172"/>
    </row>
    <row r="52" spans="1:8" x14ac:dyDescent="0.35">
      <c r="A52" s="171" t="s">
        <v>77</v>
      </c>
      <c r="B52" s="173"/>
      <c r="C52" s="173"/>
      <c r="D52" s="173"/>
      <c r="E52" s="173"/>
      <c r="F52" s="173"/>
      <c r="G52" s="173"/>
      <c r="H52" s="172"/>
    </row>
    <row r="53" spans="1:8" x14ac:dyDescent="0.35">
      <c r="A53" s="171" t="s">
        <v>76</v>
      </c>
      <c r="B53" s="173"/>
      <c r="C53" s="173"/>
      <c r="D53" s="173"/>
      <c r="E53" s="173"/>
      <c r="F53" s="173"/>
      <c r="G53" s="173"/>
      <c r="H53" s="172"/>
    </row>
    <row r="54" spans="1:8" x14ac:dyDescent="0.35">
      <c r="A54" s="171"/>
      <c r="B54" s="173"/>
      <c r="C54" s="173"/>
      <c r="D54" s="173"/>
      <c r="E54" s="173"/>
      <c r="F54" s="173"/>
      <c r="G54" s="173"/>
      <c r="H54" s="172"/>
    </row>
    <row r="55" spans="1:8" x14ac:dyDescent="0.35">
      <c r="A55" s="171" t="s">
        <v>75</v>
      </c>
      <c r="B55" s="173"/>
      <c r="C55" s="173"/>
      <c r="D55" s="173"/>
      <c r="E55" s="173"/>
      <c r="F55" s="173"/>
      <c r="G55" s="173"/>
      <c r="H55" s="172">
        <f>+H48-H50</f>
        <v>808.43000000000029</v>
      </c>
    </row>
    <row r="56" spans="1:8" x14ac:dyDescent="0.35">
      <c r="A56" s="171"/>
      <c r="B56" s="173"/>
      <c r="C56" s="173"/>
      <c r="D56" s="173"/>
      <c r="E56" s="173"/>
      <c r="F56" s="173"/>
      <c r="G56" s="173"/>
      <c r="H56" s="172"/>
    </row>
    <row r="57" spans="1:8" ht="15" thickBot="1" x14ac:dyDescent="0.4">
      <c r="A57" s="167" t="s">
        <v>74</v>
      </c>
      <c r="B57" s="166"/>
      <c r="C57" s="166"/>
      <c r="D57" s="165"/>
      <c r="E57" s="165"/>
      <c r="F57" s="165"/>
      <c r="G57" s="165"/>
      <c r="H57" s="164">
        <f>+H48/H50</f>
        <v>1.1530778217705546</v>
      </c>
    </row>
    <row r="58" spans="1:8" x14ac:dyDescent="0.35">
      <c r="A58" s="189" t="s">
        <v>19</v>
      </c>
      <c r="B58" s="188" t="s">
        <v>93</v>
      </c>
      <c r="C58" s="188" t="s">
        <v>94</v>
      </c>
      <c r="D58" s="188" t="s">
        <v>91</v>
      </c>
      <c r="E58" s="188" t="s">
        <v>93</v>
      </c>
      <c r="F58" s="188" t="s">
        <v>92</v>
      </c>
      <c r="G58" s="188" t="s">
        <v>91</v>
      </c>
      <c r="H58" s="187" t="s">
        <v>90</v>
      </c>
    </row>
    <row r="59" spans="1:8" x14ac:dyDescent="0.35">
      <c r="A59" s="186"/>
      <c r="B59" s="184" t="s">
        <v>85</v>
      </c>
      <c r="C59" s="184" t="s">
        <v>85</v>
      </c>
      <c r="D59" s="184" t="s">
        <v>89</v>
      </c>
      <c r="E59" s="184" t="s">
        <v>88</v>
      </c>
      <c r="F59" s="184" t="s">
        <v>88</v>
      </c>
      <c r="G59" s="184" t="s">
        <v>87</v>
      </c>
      <c r="H59" s="183" t="s">
        <v>86</v>
      </c>
    </row>
    <row r="60" spans="1:8" x14ac:dyDescent="0.35">
      <c r="A60" s="186"/>
      <c r="B60" s="184"/>
      <c r="C60" s="184" t="s">
        <v>19</v>
      </c>
      <c r="D60" s="185"/>
      <c r="E60" s="184" t="s">
        <v>85</v>
      </c>
      <c r="F60" s="184" t="s">
        <v>85</v>
      </c>
      <c r="G60" s="184" t="s">
        <v>84</v>
      </c>
      <c r="H60" s="183" t="s">
        <v>83</v>
      </c>
    </row>
    <row r="61" spans="1:8" ht="15" thickBot="1" x14ac:dyDescent="0.4">
      <c r="A61" s="179"/>
      <c r="B61" s="181"/>
      <c r="C61" s="181"/>
      <c r="D61" s="182"/>
      <c r="E61" s="181"/>
      <c r="F61" s="181"/>
      <c r="G61" s="181"/>
      <c r="H61" s="180" t="s">
        <v>82</v>
      </c>
    </row>
    <row r="62" spans="1:8" ht="15" thickBot="1" x14ac:dyDescent="0.4">
      <c r="A62" s="179" t="s">
        <v>81</v>
      </c>
      <c r="B62" s="178"/>
      <c r="C62" s="178"/>
      <c r="D62" s="178"/>
      <c r="E62" s="178"/>
      <c r="F62" s="178"/>
      <c r="G62" s="178"/>
      <c r="H62" s="177"/>
    </row>
    <row r="63" spans="1:8" x14ac:dyDescent="0.35">
      <c r="A63" s="176" t="s">
        <v>80</v>
      </c>
      <c r="B63" s="175">
        <v>25</v>
      </c>
      <c r="C63" s="175">
        <f>+B63*22</f>
        <v>550</v>
      </c>
      <c r="D63" s="175">
        <f>+C63*11.2</f>
        <v>6160</v>
      </c>
      <c r="E63" s="175">
        <v>12</v>
      </c>
      <c r="F63" s="175">
        <f>+E63*22</f>
        <v>264</v>
      </c>
      <c r="G63" s="175">
        <f>+F63*4.8</f>
        <v>1267.2</v>
      </c>
      <c r="H63" s="174">
        <f>+D63+G63</f>
        <v>7427.2</v>
      </c>
    </row>
    <row r="64" spans="1:8" x14ac:dyDescent="0.35">
      <c r="A64" s="171"/>
      <c r="B64" s="173"/>
      <c r="C64" s="173"/>
      <c r="D64" s="173"/>
      <c r="E64" s="173"/>
      <c r="F64" s="173"/>
      <c r="G64" s="173"/>
      <c r="H64" s="172"/>
    </row>
    <row r="65" spans="1:8" x14ac:dyDescent="0.35">
      <c r="A65" s="171" t="s">
        <v>79</v>
      </c>
      <c r="B65" s="173"/>
      <c r="C65" s="173"/>
      <c r="D65" s="173"/>
      <c r="E65" s="173"/>
      <c r="F65" s="173"/>
      <c r="G65" s="173"/>
      <c r="H65" s="172">
        <v>5281.17</v>
      </c>
    </row>
    <row r="66" spans="1:8" x14ac:dyDescent="0.35">
      <c r="A66" s="171" t="s">
        <v>78</v>
      </c>
      <c r="B66" s="173"/>
      <c r="C66" s="173"/>
      <c r="D66" s="173"/>
      <c r="E66" s="173"/>
      <c r="F66" s="173"/>
      <c r="G66" s="173"/>
      <c r="H66" s="172"/>
    </row>
    <row r="67" spans="1:8" x14ac:dyDescent="0.35">
      <c r="A67" s="171" t="s">
        <v>77</v>
      </c>
      <c r="B67" s="173"/>
      <c r="C67" s="173"/>
      <c r="D67" s="173"/>
      <c r="E67" s="173"/>
      <c r="F67" s="173"/>
      <c r="G67" s="173"/>
      <c r="H67" s="172"/>
    </row>
    <row r="68" spans="1:8" x14ac:dyDescent="0.35">
      <c r="A68" s="171" t="s">
        <v>76</v>
      </c>
      <c r="B68" s="173"/>
      <c r="C68" s="173"/>
      <c r="D68" s="173"/>
      <c r="E68" s="173"/>
      <c r="F68" s="173"/>
      <c r="G68" s="173"/>
      <c r="H68" s="172"/>
    </row>
    <row r="69" spans="1:8" x14ac:dyDescent="0.35">
      <c r="A69" s="171"/>
      <c r="B69" s="173"/>
      <c r="C69" s="173"/>
      <c r="D69" s="173"/>
      <c r="E69" s="173"/>
      <c r="F69" s="173"/>
      <c r="G69" s="173"/>
      <c r="H69" s="172"/>
    </row>
    <row r="70" spans="1:8" x14ac:dyDescent="0.35">
      <c r="A70" s="171" t="s">
        <v>75</v>
      </c>
      <c r="B70" s="173"/>
      <c r="C70" s="173"/>
      <c r="D70" s="173"/>
      <c r="E70" s="173"/>
      <c r="F70" s="173"/>
      <c r="G70" s="173"/>
      <c r="H70" s="172">
        <f>+H63-H65</f>
        <v>2146.0299999999997</v>
      </c>
    </row>
    <row r="71" spans="1:8" x14ac:dyDescent="0.35">
      <c r="A71" s="171"/>
      <c r="B71" s="170"/>
      <c r="C71" s="170"/>
      <c r="D71" s="169"/>
      <c r="E71" s="169"/>
      <c r="F71" s="169"/>
      <c r="G71" s="169"/>
      <c r="H71" s="168"/>
    </row>
    <row r="72" spans="1:8" ht="15" thickBot="1" x14ac:dyDescent="0.4">
      <c r="A72" s="167" t="s">
        <v>74</v>
      </c>
      <c r="B72" s="166"/>
      <c r="C72" s="166"/>
      <c r="D72" s="165"/>
      <c r="E72" s="165"/>
      <c r="F72" s="165"/>
      <c r="G72" s="165"/>
      <c r="H72" s="164">
        <f>+H63/H65</f>
        <v>1.4063550311768036</v>
      </c>
    </row>
    <row r="75" spans="1:8" ht="15.5" x14ac:dyDescent="0.35">
      <c r="A75" s="25" t="s">
        <v>125</v>
      </c>
    </row>
    <row r="76" spans="1:8" ht="15" x14ac:dyDescent="0.35">
      <c r="A76" s="208" t="s">
        <v>138</v>
      </c>
    </row>
    <row r="77" spans="1:8" ht="15.5" x14ac:dyDescent="0.35">
      <c r="A77" s="209" t="s">
        <v>139</v>
      </c>
    </row>
    <row r="79" spans="1:8" ht="15.5" x14ac:dyDescent="0.35">
      <c r="A79" s="25" t="s">
        <v>140</v>
      </c>
    </row>
    <row r="80" spans="1:8" ht="15" x14ac:dyDescent="0.35">
      <c r="A80" s="208" t="s">
        <v>126</v>
      </c>
    </row>
    <row r="81" spans="1:8" ht="15.5" x14ac:dyDescent="0.35">
      <c r="A81" s="209" t="s">
        <v>127</v>
      </c>
    </row>
    <row r="84" spans="1:8" ht="14.5" customHeight="1" x14ac:dyDescent="0.35">
      <c r="A84" s="264" t="s">
        <v>128</v>
      </c>
      <c r="B84" s="264"/>
      <c r="C84" s="264"/>
      <c r="D84" s="264"/>
      <c r="E84" s="264"/>
      <c r="F84" s="264"/>
      <c r="G84" s="264"/>
      <c r="H84" s="264"/>
    </row>
    <row r="85" spans="1:8" ht="14.5" customHeight="1" x14ac:dyDescent="0.35">
      <c r="A85" s="264"/>
      <c r="B85" s="264"/>
      <c r="C85" s="264"/>
      <c r="D85" s="264"/>
      <c r="E85" s="264"/>
      <c r="F85" s="264"/>
      <c r="G85" s="264"/>
      <c r="H85" s="264"/>
    </row>
    <row r="86" spans="1:8" ht="14.5" customHeight="1" x14ac:dyDescent="0.35">
      <c r="A86" s="264"/>
      <c r="B86" s="264"/>
      <c r="C86" s="264"/>
      <c r="D86" s="264"/>
      <c r="E86" s="264"/>
      <c r="F86" s="264"/>
      <c r="G86" s="264"/>
      <c r="H86" s="264"/>
    </row>
    <row r="87" spans="1:8" ht="14.5" customHeight="1" x14ac:dyDescent="0.35">
      <c r="A87" s="264"/>
      <c r="B87" s="264"/>
      <c r="C87" s="264"/>
      <c r="D87" s="264"/>
      <c r="E87" s="264"/>
      <c r="F87" s="264"/>
      <c r="G87" s="264"/>
      <c r="H87" s="264"/>
    </row>
    <row r="88" spans="1:8" ht="14.5" customHeight="1" x14ac:dyDescent="0.35">
      <c r="A88" s="264"/>
      <c r="B88" s="264"/>
      <c r="C88" s="264"/>
      <c r="D88" s="264"/>
      <c r="E88" s="264"/>
      <c r="F88" s="264"/>
      <c r="G88" s="264"/>
      <c r="H88" s="264"/>
    </row>
    <row r="89" spans="1:8" ht="14.5" customHeight="1" x14ac:dyDescent="0.35">
      <c r="A89" s="264"/>
      <c r="B89" s="264"/>
      <c r="C89" s="264"/>
      <c r="D89" s="264"/>
      <c r="E89" s="264"/>
      <c r="F89" s="264"/>
      <c r="G89" s="264"/>
      <c r="H89" s="264"/>
    </row>
    <row r="90" spans="1:8" x14ac:dyDescent="0.35">
      <c r="A90" s="264"/>
      <c r="B90" s="264"/>
      <c r="C90" s="264"/>
      <c r="D90" s="264"/>
      <c r="E90" s="264"/>
      <c r="F90" s="264"/>
      <c r="G90" s="264"/>
      <c r="H90" s="264"/>
    </row>
    <row r="93" spans="1:8" ht="14.5" customHeight="1" x14ac:dyDescent="0.35">
      <c r="A93" s="264" t="s">
        <v>129</v>
      </c>
      <c r="B93" s="264"/>
      <c r="C93" s="264"/>
      <c r="D93" s="264"/>
      <c r="E93" s="264"/>
      <c r="F93" s="264"/>
      <c r="G93" s="264"/>
      <c r="H93" s="264"/>
    </row>
    <row r="94" spans="1:8" ht="14.5" customHeight="1" x14ac:dyDescent="0.35">
      <c r="A94" s="264"/>
      <c r="B94" s="264"/>
      <c r="C94" s="264"/>
      <c r="D94" s="264"/>
      <c r="E94" s="264"/>
      <c r="F94" s="264"/>
      <c r="G94" s="264"/>
      <c r="H94" s="264"/>
    </row>
  </sheetData>
  <sheetProtection sheet="1" objects="1" scenarios="1"/>
  <mergeCells count="8">
    <mergeCell ref="A84:H90"/>
    <mergeCell ref="A93:H94"/>
    <mergeCell ref="A1:H1"/>
    <mergeCell ref="A2:H2"/>
    <mergeCell ref="A3:H3"/>
    <mergeCell ref="A9:H9"/>
    <mergeCell ref="A10:H10"/>
    <mergeCell ref="A7:H8"/>
  </mergeCells>
  <pageMargins left="0.7" right="0.7" top="0.75" bottom="0.75" header="0.3" footer="0.3"/>
  <pageSetup scale="67" fitToWidth="2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PRESUPUESTO PARA 16 QQ 3 AÑOS</vt:lpstr>
      <vt:lpstr>PARA UNA CUERDA</vt:lpstr>
      <vt:lpstr>ANALISIS DE PRECIOS</vt:lpstr>
      <vt:lpstr>'ANALISIS DE PRECIOS'!Print_Area</vt:lpstr>
      <vt:lpstr>'PARA UNA CUERDA'!Print_Area</vt:lpstr>
      <vt:lpstr>'PRESUPUESTO PARA 16 QQ 3 AÑOS'!Print_Area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Migdalia Torres</dc:creator>
  <cp:lastModifiedBy>User</cp:lastModifiedBy>
  <cp:lastPrinted>2022-03-16T16:20:34Z</cp:lastPrinted>
  <dcterms:created xsi:type="dcterms:W3CDTF">2013-01-24T16:49:05Z</dcterms:created>
  <dcterms:modified xsi:type="dcterms:W3CDTF">2022-05-04T13:25:49Z</dcterms:modified>
</cp:coreProperties>
</file>