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https://sistemaupr-my.sharepoint.com/personal/ricardo_torres26_upr_edu/Documents/"/>
    </mc:Choice>
  </mc:AlternateContent>
  <xr:revisionPtr revIDLastSave="0" documentId="8_{A0A80330-72E7-4420-9E29-EC2EC071F269}" xr6:coauthVersionLast="47" xr6:coauthVersionMax="47" xr10:uidLastSave="{00000000-0000-0000-0000-000000000000}"/>
  <bookViews>
    <workbookView xWindow="-120" yWindow="-120" windowWidth="29040" windowHeight="15720" xr2:uid="{6503CA70-2E9B-4CDA-BBD0-ACB11A562D26}"/>
  </bookViews>
  <sheets>
    <sheet name="Proyecciones" sheetId="17" r:id="rId1"/>
    <sheet name="Proyeccion RR100" sheetId="1" state="hidden" r:id="rId2"/>
    <sheet name="Proyeccion RR75" sheetId="15" state="hidden" r:id="rId3"/>
    <sheet name="Proyeccion RR50" sheetId="16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6" l="1"/>
  <c r="J2" i="16" s="1"/>
  <c r="H3" i="16"/>
  <c r="J3" i="16" s="1"/>
  <c r="H4" i="16"/>
  <c r="I4" i="16" s="1"/>
  <c r="H5" i="16"/>
  <c r="I5" i="16" s="1"/>
  <c r="H6" i="16"/>
  <c r="H7" i="16"/>
  <c r="J7" i="16" s="1"/>
  <c r="H8" i="16"/>
  <c r="J8" i="16" s="1"/>
  <c r="H9" i="16"/>
  <c r="J9" i="16" s="1"/>
  <c r="H10" i="16"/>
  <c r="J10" i="16" s="1"/>
  <c r="H11" i="16"/>
  <c r="I11" i="16" s="1"/>
  <c r="H12" i="16"/>
  <c r="J12" i="16" s="1"/>
  <c r="H13" i="16"/>
  <c r="I13" i="16" s="1"/>
  <c r="I14" i="17" s="1"/>
  <c r="H14" i="16"/>
  <c r="H15" i="16"/>
  <c r="I15" i="16" s="1"/>
  <c r="H16" i="16"/>
  <c r="I16" i="16" s="1"/>
  <c r="H17" i="16"/>
  <c r="I17" i="16" s="1"/>
  <c r="H18" i="16"/>
  <c r="J18" i="16" s="1"/>
  <c r="H19" i="16"/>
  <c r="I19" i="16" s="1"/>
  <c r="H20" i="16"/>
  <c r="J20" i="16" s="1"/>
  <c r="H21" i="16"/>
  <c r="I21" i="16" s="1"/>
  <c r="H22" i="16"/>
  <c r="J22" i="16" s="1"/>
  <c r="H23" i="16"/>
  <c r="I23" i="16" s="1"/>
  <c r="H24" i="16"/>
  <c r="I24" i="16" s="1"/>
  <c r="H25" i="16"/>
  <c r="I25" i="16" s="1"/>
  <c r="H26" i="16"/>
  <c r="I26" i="16" s="1"/>
  <c r="H27" i="16"/>
  <c r="I27" i="16" s="1"/>
  <c r="H28" i="16"/>
  <c r="I28" i="16" s="1"/>
  <c r="H2" i="15"/>
  <c r="H3" i="15"/>
  <c r="J3" i="15" s="1"/>
  <c r="H4" i="15"/>
  <c r="J4" i="15" s="1"/>
  <c r="H5" i="15"/>
  <c r="J5" i="15" s="1"/>
  <c r="H6" i="15"/>
  <c r="J6" i="15" s="1"/>
  <c r="H7" i="15"/>
  <c r="H8" i="15"/>
  <c r="J8" i="15" s="1"/>
  <c r="H9" i="15"/>
  <c r="I9" i="15" s="1"/>
  <c r="H10" i="15"/>
  <c r="J10" i="15" s="1"/>
  <c r="H11" i="15"/>
  <c r="J11" i="15" s="1"/>
  <c r="H12" i="15"/>
  <c r="J12" i="15" s="1"/>
  <c r="H13" i="15"/>
  <c r="J13" i="15" s="1"/>
  <c r="H14" i="15"/>
  <c r="J14" i="15" s="1"/>
  <c r="H15" i="15"/>
  <c r="J15" i="15" s="1"/>
  <c r="H16" i="15"/>
  <c r="J16" i="15" s="1"/>
  <c r="H17" i="15"/>
  <c r="I17" i="15" s="1"/>
  <c r="H18" i="15"/>
  <c r="J18" i="15" s="1"/>
  <c r="H19" i="15"/>
  <c r="I19" i="15" s="1"/>
  <c r="H16" i="17" s="1"/>
  <c r="H20" i="15"/>
  <c r="J20" i="15" s="1"/>
  <c r="H21" i="15"/>
  <c r="J21" i="15" s="1"/>
  <c r="H22" i="15"/>
  <c r="J22" i="15" s="1"/>
  <c r="H23" i="15"/>
  <c r="I23" i="15" s="1"/>
  <c r="H6" i="17" s="1"/>
  <c r="H24" i="15"/>
  <c r="J24" i="15" s="1"/>
  <c r="H25" i="15"/>
  <c r="I25" i="15" s="1"/>
  <c r="H26" i="15"/>
  <c r="J26" i="15" s="1"/>
  <c r="H27" i="15"/>
  <c r="I27" i="15" s="1"/>
  <c r="H11" i="17" s="1"/>
  <c r="H28" i="15"/>
  <c r="J28" i="15" s="1"/>
  <c r="H2" i="1"/>
  <c r="I2" i="1" s="1"/>
  <c r="H3" i="1"/>
  <c r="J3" i="1" s="1"/>
  <c r="H4" i="1"/>
  <c r="J4" i="1" s="1"/>
  <c r="H5" i="1"/>
  <c r="I5" i="1" s="1"/>
  <c r="H6" i="1"/>
  <c r="J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J15" i="1" s="1"/>
  <c r="H16" i="1"/>
  <c r="J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J27" i="1" s="1"/>
  <c r="H28" i="1"/>
  <c r="I28" i="1" s="1"/>
  <c r="G31" i="16"/>
  <c r="F31" i="16"/>
  <c r="E31" i="16"/>
  <c r="D31" i="16"/>
  <c r="C31" i="16"/>
  <c r="G30" i="16"/>
  <c r="F30" i="16"/>
  <c r="E30" i="16"/>
  <c r="D30" i="16"/>
  <c r="C30" i="16"/>
  <c r="I22" i="16"/>
  <c r="I20" i="16"/>
  <c r="J14" i="16"/>
  <c r="I14" i="16"/>
  <c r="J6" i="16"/>
  <c r="G31" i="15"/>
  <c r="F31" i="15"/>
  <c r="E31" i="15"/>
  <c r="D31" i="15"/>
  <c r="C31" i="15"/>
  <c r="G30" i="15"/>
  <c r="F30" i="15"/>
  <c r="E30" i="15"/>
  <c r="D30" i="15"/>
  <c r="C30" i="15"/>
  <c r="J23" i="15"/>
  <c r="J19" i="15"/>
  <c r="J7" i="15"/>
  <c r="I7" i="15"/>
  <c r="I15" i="1"/>
  <c r="J8" i="1"/>
  <c r="C31" i="1"/>
  <c r="D31" i="1"/>
  <c r="E31" i="1"/>
  <c r="F31" i="1"/>
  <c r="G31" i="1"/>
  <c r="D30" i="1"/>
  <c r="E30" i="1"/>
  <c r="F30" i="1"/>
  <c r="G30" i="1"/>
  <c r="C30" i="1"/>
  <c r="I11" i="15" l="1"/>
  <c r="H23" i="17" s="1"/>
  <c r="I7" i="16"/>
  <c r="J26" i="16"/>
  <c r="K26" i="16" s="1"/>
  <c r="M26" i="16" s="1"/>
  <c r="I3" i="15"/>
  <c r="H19" i="17" s="1"/>
  <c r="J27" i="15"/>
  <c r="I18" i="16"/>
  <c r="I19" i="17" s="1"/>
  <c r="O8" i="17" s="1"/>
  <c r="I15" i="15"/>
  <c r="H25" i="17" s="1"/>
  <c r="J9" i="15"/>
  <c r="K9" i="15" s="1"/>
  <c r="M9" i="15" s="1"/>
  <c r="J24" i="16"/>
  <c r="J23" i="1"/>
  <c r="I3" i="1"/>
  <c r="K3" i="1" s="1"/>
  <c r="J13" i="16"/>
  <c r="L13" i="16" s="1"/>
  <c r="J14" i="1"/>
  <c r="L14" i="1" s="1"/>
  <c r="I6" i="1"/>
  <c r="G7" i="17" s="1"/>
  <c r="I16" i="1"/>
  <c r="G10" i="17"/>
  <c r="I16" i="17"/>
  <c r="K7" i="15"/>
  <c r="M7" i="15" s="1"/>
  <c r="G18" i="17"/>
  <c r="I24" i="17"/>
  <c r="H3" i="17"/>
  <c r="N3" i="17" s="1"/>
  <c r="I12" i="17"/>
  <c r="I20" i="17"/>
  <c r="G26" i="17"/>
  <c r="L20" i="16"/>
  <c r="G6" i="17"/>
  <c r="G14" i="17"/>
  <c r="G22" i="17"/>
  <c r="I28" i="17"/>
  <c r="G21" i="17"/>
  <c r="G29" i="17"/>
  <c r="G25" i="17"/>
  <c r="G9" i="17"/>
  <c r="I29" i="17"/>
  <c r="I25" i="17"/>
  <c r="J20" i="1"/>
  <c r="K20" i="1" s="1"/>
  <c r="M20" i="1" s="1"/>
  <c r="J24" i="1"/>
  <c r="L24" i="1" s="1"/>
  <c r="J28" i="1"/>
  <c r="L28" i="1" s="1"/>
  <c r="J17" i="15"/>
  <c r="L17" i="15" s="1"/>
  <c r="J25" i="15"/>
  <c r="L25" i="15" s="1"/>
  <c r="J16" i="16"/>
  <c r="K16" i="16" s="1"/>
  <c r="M16" i="16" s="1"/>
  <c r="G13" i="17"/>
  <c r="I15" i="17"/>
  <c r="H18" i="17"/>
  <c r="I23" i="17"/>
  <c r="I27" i="17"/>
  <c r="I8" i="17"/>
  <c r="J4" i="16"/>
  <c r="K4" i="16" s="1"/>
  <c r="M4" i="16" s="1"/>
  <c r="I12" i="16"/>
  <c r="L12" i="16" s="1"/>
  <c r="G4" i="17"/>
  <c r="M4" i="17" s="1"/>
  <c r="I6" i="17"/>
  <c r="G8" i="17"/>
  <c r="H9" i="17"/>
  <c r="G12" i="17"/>
  <c r="G16" i="17"/>
  <c r="I18" i="17"/>
  <c r="G20" i="17"/>
  <c r="I22" i="17"/>
  <c r="G24" i="17"/>
  <c r="I26" i="17"/>
  <c r="J12" i="1"/>
  <c r="K12" i="1" s="1"/>
  <c r="M12" i="1" s="1"/>
  <c r="I4" i="1"/>
  <c r="K4" i="1" s="1"/>
  <c r="M4" i="1" s="1"/>
  <c r="G3" i="17"/>
  <c r="M3" i="17" s="1"/>
  <c r="H4" i="17"/>
  <c r="N4" i="17" s="1"/>
  <c r="I5" i="17"/>
  <c r="G11" i="17"/>
  <c r="G15" i="17"/>
  <c r="I17" i="17"/>
  <c r="G19" i="17"/>
  <c r="I21" i="17"/>
  <c r="G23" i="17"/>
  <c r="G27" i="17"/>
  <c r="J7" i="1"/>
  <c r="K7" i="1" s="1"/>
  <c r="M7" i="1" s="1"/>
  <c r="K3" i="15"/>
  <c r="M3" i="15" s="1"/>
  <c r="I3" i="16"/>
  <c r="K23" i="15"/>
  <c r="M23" i="15" s="1"/>
  <c r="K19" i="15"/>
  <c r="M19" i="15" s="1"/>
  <c r="J19" i="1"/>
  <c r="L19" i="1" s="1"/>
  <c r="J11" i="1"/>
  <c r="L11" i="1" s="1"/>
  <c r="J11" i="16"/>
  <c r="L11" i="16" s="1"/>
  <c r="I27" i="1"/>
  <c r="L27" i="1" s="1"/>
  <c r="J18" i="1"/>
  <c r="K18" i="1" s="1"/>
  <c r="M18" i="1" s="1"/>
  <c r="J2" i="1"/>
  <c r="L2" i="1" s="1"/>
  <c r="J22" i="1"/>
  <c r="L22" i="1" s="1"/>
  <c r="J26" i="1"/>
  <c r="K26" i="1" s="1"/>
  <c r="M26" i="1" s="1"/>
  <c r="J10" i="1"/>
  <c r="L10" i="1" s="1"/>
  <c r="J5" i="16"/>
  <c r="L5" i="16" s="1"/>
  <c r="K27" i="15"/>
  <c r="M27" i="15" s="1"/>
  <c r="K11" i="15"/>
  <c r="M11" i="15" s="1"/>
  <c r="K22" i="16"/>
  <c r="M22" i="16" s="1"/>
  <c r="H30" i="15"/>
  <c r="I5" i="15"/>
  <c r="L5" i="15" s="1"/>
  <c r="I13" i="15"/>
  <c r="I21" i="15"/>
  <c r="K14" i="16"/>
  <c r="M14" i="16" s="1"/>
  <c r="I9" i="16"/>
  <c r="L24" i="16"/>
  <c r="H30" i="16"/>
  <c r="K7" i="16"/>
  <c r="M7" i="16" s="1"/>
  <c r="J28" i="16"/>
  <c r="K28" i="16" s="1"/>
  <c r="M28" i="16" s="1"/>
  <c r="L14" i="16"/>
  <c r="K20" i="16"/>
  <c r="M20" i="16" s="1"/>
  <c r="L22" i="16"/>
  <c r="K24" i="16"/>
  <c r="M24" i="16" s="1"/>
  <c r="L26" i="16"/>
  <c r="L11" i="15"/>
  <c r="L19" i="15"/>
  <c r="L27" i="15"/>
  <c r="L7" i="15"/>
  <c r="L15" i="15"/>
  <c r="L23" i="15"/>
  <c r="J25" i="1"/>
  <c r="K25" i="1" s="1"/>
  <c r="M25" i="1" s="1"/>
  <c r="J9" i="1"/>
  <c r="L9" i="1" s="1"/>
  <c r="J21" i="1"/>
  <c r="K21" i="1" s="1"/>
  <c r="M21" i="1" s="1"/>
  <c r="J13" i="1"/>
  <c r="K13" i="1" s="1"/>
  <c r="M13" i="1" s="1"/>
  <c r="J5" i="1"/>
  <c r="L5" i="1" s="1"/>
  <c r="J17" i="1"/>
  <c r="K17" i="1" s="1"/>
  <c r="M17" i="1" s="1"/>
  <c r="L7" i="16"/>
  <c r="J15" i="16"/>
  <c r="L15" i="16" s="1"/>
  <c r="J17" i="16"/>
  <c r="L17" i="16" s="1"/>
  <c r="J19" i="16"/>
  <c r="L19" i="16" s="1"/>
  <c r="J21" i="16"/>
  <c r="L21" i="16" s="1"/>
  <c r="J23" i="16"/>
  <c r="L23" i="16" s="1"/>
  <c r="J25" i="16"/>
  <c r="L25" i="16" s="1"/>
  <c r="J27" i="16"/>
  <c r="L27" i="16" s="1"/>
  <c r="I6" i="16"/>
  <c r="I7" i="17" s="1"/>
  <c r="I8" i="16"/>
  <c r="I9" i="17" s="1"/>
  <c r="I10" i="16"/>
  <c r="I11" i="17" s="1"/>
  <c r="H31" i="16"/>
  <c r="I2" i="16"/>
  <c r="I2" i="15"/>
  <c r="I4" i="15"/>
  <c r="H7" i="17" s="1"/>
  <c r="I6" i="15"/>
  <c r="H20" i="17" s="1"/>
  <c r="I8" i="15"/>
  <c r="H21" i="17" s="1"/>
  <c r="I10" i="15"/>
  <c r="H22" i="17" s="1"/>
  <c r="I12" i="15"/>
  <c r="H14" i="17" s="1"/>
  <c r="I14" i="15"/>
  <c r="H24" i="17" s="1"/>
  <c r="I16" i="15"/>
  <c r="H15" i="17" s="1"/>
  <c r="I18" i="15"/>
  <c r="H10" i="17" s="1"/>
  <c r="I20" i="15"/>
  <c r="I22" i="15"/>
  <c r="H17" i="17" s="1"/>
  <c r="I24" i="15"/>
  <c r="H28" i="17" s="1"/>
  <c r="I26" i="15"/>
  <c r="H29" i="17" s="1"/>
  <c r="I28" i="15"/>
  <c r="H12" i="17" s="1"/>
  <c r="J2" i="15"/>
  <c r="H31" i="15"/>
  <c r="L23" i="1"/>
  <c r="L20" i="1"/>
  <c r="L8" i="1"/>
  <c r="L15" i="1"/>
  <c r="K8" i="1"/>
  <c r="M8" i="1" s="1"/>
  <c r="K15" i="1"/>
  <c r="M15" i="1" s="1"/>
  <c r="K23" i="1"/>
  <c r="M23" i="1" s="1"/>
  <c r="L4" i="1" l="1"/>
  <c r="K19" i="1"/>
  <c r="M19" i="1" s="1"/>
  <c r="K13" i="16"/>
  <c r="M13" i="16" s="1"/>
  <c r="O5" i="17"/>
  <c r="L3" i="1"/>
  <c r="L9" i="15"/>
  <c r="M6" i="17"/>
  <c r="O6" i="17"/>
  <c r="L18" i="16"/>
  <c r="L3" i="15"/>
  <c r="K18" i="16"/>
  <c r="M18" i="16" s="1"/>
  <c r="K15" i="15"/>
  <c r="M15" i="15" s="1"/>
  <c r="K11" i="16"/>
  <c r="M11" i="16" s="1"/>
  <c r="K6" i="1"/>
  <c r="M6" i="1" s="1"/>
  <c r="L12" i="1"/>
  <c r="L6" i="1"/>
  <c r="L7" i="1"/>
  <c r="K25" i="15"/>
  <c r="M25" i="15" s="1"/>
  <c r="L26" i="1"/>
  <c r="K14" i="1"/>
  <c r="M14" i="1" s="1"/>
  <c r="K24" i="1"/>
  <c r="M24" i="1" s="1"/>
  <c r="L16" i="16"/>
  <c r="I30" i="1"/>
  <c r="L4" i="16"/>
  <c r="G17" i="17"/>
  <c r="M7" i="17" s="1"/>
  <c r="K28" i="1"/>
  <c r="M28" i="1" s="1"/>
  <c r="J31" i="1"/>
  <c r="K16" i="1"/>
  <c r="M16" i="1" s="1"/>
  <c r="K27" i="1"/>
  <c r="M27" i="1" s="1"/>
  <c r="I31" i="1"/>
  <c r="L16" i="1"/>
  <c r="K22" i="1"/>
  <c r="M22" i="1" s="1"/>
  <c r="K10" i="1"/>
  <c r="M10" i="1" s="1"/>
  <c r="K5" i="15"/>
  <c r="M5" i="15" s="1"/>
  <c r="K17" i="15"/>
  <c r="M17" i="15" s="1"/>
  <c r="L25" i="1"/>
  <c r="L20" i="15"/>
  <c r="H26" i="17"/>
  <c r="N8" i="17" s="1"/>
  <c r="I4" i="17"/>
  <c r="O4" i="17" s="1"/>
  <c r="I13" i="17"/>
  <c r="O7" i="17" s="1"/>
  <c r="H13" i="17"/>
  <c r="N7" i="17" s="1"/>
  <c r="K3" i="16"/>
  <c r="M3" i="16" s="1"/>
  <c r="K12" i="16"/>
  <c r="M12" i="16" s="1"/>
  <c r="L3" i="16"/>
  <c r="G28" i="17"/>
  <c r="M8" i="17" s="1"/>
  <c r="L13" i="1"/>
  <c r="K11" i="1"/>
  <c r="M11" i="1" s="1"/>
  <c r="L18" i="1"/>
  <c r="I3" i="17"/>
  <c r="O3" i="17" s="1"/>
  <c r="L21" i="15"/>
  <c r="H27" i="17"/>
  <c r="G5" i="17"/>
  <c r="M5" i="17" s="1"/>
  <c r="H8" i="17"/>
  <c r="N6" i="17" s="1"/>
  <c r="K9" i="16"/>
  <c r="M9" i="16" s="1"/>
  <c r="I10" i="17"/>
  <c r="H5" i="17"/>
  <c r="N5" i="17" s="1"/>
  <c r="K5" i="16"/>
  <c r="M5" i="16" s="1"/>
  <c r="K13" i="15"/>
  <c r="M13" i="15" s="1"/>
  <c r="J30" i="1"/>
  <c r="L13" i="15"/>
  <c r="L17" i="1"/>
  <c r="K2" i="1"/>
  <c r="M2" i="1" s="1"/>
  <c r="K9" i="1"/>
  <c r="M9" i="1" s="1"/>
  <c r="K5" i="1"/>
  <c r="M5" i="1" s="1"/>
  <c r="K24" i="15"/>
  <c r="M24" i="15" s="1"/>
  <c r="K16" i="15"/>
  <c r="M16" i="15" s="1"/>
  <c r="K8" i="15"/>
  <c r="M8" i="15" s="1"/>
  <c r="K6" i="16"/>
  <c r="M6" i="16" s="1"/>
  <c r="L9" i="16"/>
  <c r="K22" i="15"/>
  <c r="M22" i="15" s="1"/>
  <c r="K6" i="15"/>
  <c r="M6" i="15" s="1"/>
  <c r="K28" i="15"/>
  <c r="M28" i="15" s="1"/>
  <c r="K20" i="15"/>
  <c r="M20" i="15" s="1"/>
  <c r="K12" i="15"/>
  <c r="M12" i="15" s="1"/>
  <c r="K4" i="15"/>
  <c r="M4" i="15" s="1"/>
  <c r="K10" i="16"/>
  <c r="M10" i="16" s="1"/>
  <c r="K14" i="15"/>
  <c r="M14" i="15" s="1"/>
  <c r="K26" i="15"/>
  <c r="M26" i="15" s="1"/>
  <c r="K18" i="15"/>
  <c r="M18" i="15" s="1"/>
  <c r="K10" i="15"/>
  <c r="M10" i="15" s="1"/>
  <c r="L4" i="15"/>
  <c r="K8" i="16"/>
  <c r="M8" i="16" s="1"/>
  <c r="L28" i="16"/>
  <c r="K21" i="15"/>
  <c r="M21" i="15" s="1"/>
  <c r="J30" i="16"/>
  <c r="L6" i="16"/>
  <c r="K21" i="16"/>
  <c r="M21" i="16" s="1"/>
  <c r="L8" i="16"/>
  <c r="L10" i="16"/>
  <c r="L22" i="15"/>
  <c r="L12" i="15"/>
  <c r="L21" i="1"/>
  <c r="J31" i="16"/>
  <c r="K27" i="16"/>
  <c r="M27" i="16" s="1"/>
  <c r="K19" i="16"/>
  <c r="M19" i="16" s="1"/>
  <c r="K25" i="16"/>
  <c r="M25" i="16" s="1"/>
  <c r="K23" i="16"/>
  <c r="M23" i="16" s="1"/>
  <c r="I31" i="16"/>
  <c r="L2" i="16"/>
  <c r="I30" i="16"/>
  <c r="K2" i="16"/>
  <c r="K17" i="16"/>
  <c r="M17" i="16" s="1"/>
  <c r="K15" i="16"/>
  <c r="M15" i="16" s="1"/>
  <c r="I31" i="15"/>
  <c r="K2" i="15"/>
  <c r="I30" i="15"/>
  <c r="L18" i="15"/>
  <c r="L8" i="15"/>
  <c r="J30" i="15"/>
  <c r="L2" i="15"/>
  <c r="J31" i="15"/>
  <c r="L28" i="15"/>
  <c r="L14" i="15"/>
  <c r="L24" i="15"/>
  <c r="L10" i="15"/>
  <c r="L16" i="15"/>
  <c r="L26" i="15"/>
  <c r="L6" i="15"/>
  <c r="M3" i="1"/>
  <c r="N10" i="17" l="1"/>
  <c r="N11" i="17" s="1"/>
  <c r="M10" i="17"/>
  <c r="M11" i="17" s="1"/>
  <c r="L30" i="1"/>
  <c r="K30" i="1"/>
  <c r="L31" i="1"/>
  <c r="K31" i="1"/>
  <c r="L30" i="16"/>
  <c r="L31" i="16"/>
  <c r="K30" i="16"/>
  <c r="M2" i="16"/>
  <c r="K31" i="16"/>
  <c r="K30" i="15"/>
  <c r="K31" i="15"/>
  <c r="M2" i="15"/>
  <c r="L30" i="15"/>
  <c r="L31" i="15"/>
  <c r="M31" i="1"/>
  <c r="M30" i="1"/>
  <c r="O10" i="17" l="1"/>
  <c r="O11" i="17" s="1"/>
  <c r="M31" i="16"/>
  <c r="M30" i="16"/>
  <c r="M31" i="15"/>
  <c r="M30" i="15"/>
</calcChain>
</file>

<file path=xl/sharedStrings.xml><?xml version="1.0" encoding="utf-8"?>
<sst xmlns="http://schemas.openxmlformats.org/spreadsheetml/2006/main" count="340" uniqueCount="65">
  <si>
    <t>Area necesaria para satisfacer consumo local basado en metas de rendimiento</t>
  </si>
  <si>
    <t>Cultivo</t>
  </si>
  <si>
    <t>Renglón</t>
  </si>
  <si>
    <t>Rendimiento Potencial  (kg/ha)</t>
  </si>
  <si>
    <t>Renglon</t>
  </si>
  <si>
    <t>Y-100 (ha)</t>
  </si>
  <si>
    <t>Y-75 (ha)</t>
  </si>
  <si>
    <t>Y-50 (ha)</t>
  </si>
  <si>
    <t>Y-actual (ha)</t>
  </si>
  <si>
    <t>Y-actual</t>
  </si>
  <si>
    <t>Café</t>
  </si>
  <si>
    <t>Carne de Res y Ternera</t>
  </si>
  <si>
    <t>Carne</t>
  </si>
  <si>
    <t>Cilantrillo</t>
  </si>
  <si>
    <t>Especias</t>
  </si>
  <si>
    <t>Recao</t>
  </si>
  <si>
    <t>Farináceos</t>
  </si>
  <si>
    <t>Apio</t>
  </si>
  <si>
    <t>Frutas Frescas</t>
  </si>
  <si>
    <t>Batatas</t>
  </si>
  <si>
    <t>Hortalizas y legumbres</t>
  </si>
  <si>
    <t>Malanga</t>
  </si>
  <si>
    <t>Ñame</t>
  </si>
  <si>
    <t>SUM (cultivos)</t>
  </si>
  <si>
    <t>Yautías</t>
  </si>
  <si>
    <t>SUM (cultivos+carne)</t>
  </si>
  <si>
    <t>Yuca</t>
  </si>
  <si>
    <t>Aguacates</t>
  </si>
  <si>
    <t>Chinas</t>
  </si>
  <si>
    <t>Limones y Limas</t>
  </si>
  <si>
    <t>Papaya</t>
  </si>
  <si>
    <t>Piñas</t>
  </si>
  <si>
    <t>Sandia</t>
  </si>
  <si>
    <t xml:space="preserve">Aji dulce </t>
  </si>
  <si>
    <t>Berenjenas</t>
  </si>
  <si>
    <t>Calabaza</t>
  </si>
  <si>
    <t>Cebollas</t>
  </si>
  <si>
    <t>Chayote</t>
  </si>
  <si>
    <t>Gandules Frescos</t>
  </si>
  <si>
    <t>Habichuelas Tiernas</t>
  </si>
  <si>
    <t>Pepinillos</t>
  </si>
  <si>
    <t>Pimientos</t>
  </si>
  <si>
    <t>Repollo</t>
  </si>
  <si>
    <t>Tomates</t>
  </si>
  <si>
    <t>SUM</t>
  </si>
  <si>
    <t>Producción Local (Toneladas)</t>
  </si>
  <si>
    <t>Importación (Toneladas)</t>
  </si>
  <si>
    <t>Exportación (Toneladas)</t>
  </si>
  <si>
    <t>Importación Neta (Toneladas)</t>
  </si>
  <si>
    <t>Disponible Para Consumo (Toneladas)</t>
  </si>
  <si>
    <t>RR100  (kg/ha)</t>
  </si>
  <si>
    <t>Área Nec. para Satisfacer 
 Consumo Local Total (ha)</t>
  </si>
  <si>
    <t>Area local en produccion estimada (ha)</t>
  </si>
  <si>
    <t>Area adicional necesaria estimada (ha)</t>
  </si>
  <si>
    <t>Area local en prod. (%)</t>
  </si>
  <si>
    <t>Area adicional neccesaria (%)</t>
  </si>
  <si>
    <t>AVG</t>
  </si>
  <si>
    <t>Exportación (toneladas)</t>
  </si>
  <si>
    <t>Disponible para consumo (Toneladas)</t>
  </si>
  <si>
    <t>RR 75 (kg/ha)</t>
  </si>
  <si>
    <t>% area local en prod</t>
  </si>
  <si>
    <t>% area adicional neccesaria</t>
  </si>
  <si>
    <t>AVG.</t>
  </si>
  <si>
    <t>SUM.</t>
  </si>
  <si>
    <t>RR50  (kg/ha)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</si>
</sst>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 vertical="center" wrapText="1"/>
    </xf>
    <xf numFmtId="164" fontId="4" fillId="0" borderId="0" xfId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64" fontId="3" fillId="0" borderId="0" xfId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4" fillId="0" borderId="0" xfId="1" applyNumberFormat="1" applyFont="1" applyFill="1" applyBorder="1" applyAlignment="1">
      <alignment wrapText="1"/>
    </xf>
    <xf numFmtId="0" fontId="0" fillId="0" borderId="3" xfId="0" applyBorder="1"/>
    <xf numFmtId="164" fontId="0" fillId="0" borderId="3" xfId="1" applyFont="1" applyBorder="1"/>
    <xf numFmtId="164" fontId="0" fillId="0" borderId="4" xfId="1" applyFont="1" applyBorder="1"/>
    <xf numFmtId="0" fontId="0" fillId="0" borderId="5" xfId="0" applyBorder="1"/>
    <xf numFmtId="164" fontId="0" fillId="0" borderId="5" xfId="1" applyFont="1" applyBorder="1"/>
    <xf numFmtId="164" fontId="0" fillId="0" borderId="6" xfId="1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0" xfId="0" applyFont="1"/>
    <xf numFmtId="4" fontId="0" fillId="0" borderId="0" xfId="1" applyNumberFormat="1" applyFont="1" applyBorder="1"/>
    <xf numFmtId="164" fontId="2" fillId="0" borderId="0" xfId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3" xfId="1" applyFont="1" applyBorder="1"/>
    <xf numFmtId="164" fontId="4" fillId="0" borderId="5" xfId="1" applyFont="1" applyBorder="1"/>
    <xf numFmtId="4" fontId="4" fillId="0" borderId="0" xfId="1" applyNumberFormat="1" applyFont="1" applyBorder="1"/>
    <xf numFmtId="164" fontId="4" fillId="0" borderId="0" xfId="1" applyFont="1"/>
    <xf numFmtId="0" fontId="3" fillId="0" borderId="0" xfId="0" applyFont="1" applyAlignment="1">
      <alignment horizontal="center" vertical="center" wrapText="1"/>
    </xf>
    <xf numFmtId="4" fontId="4" fillId="0" borderId="0" xfId="1" applyNumberFormat="1" applyFont="1"/>
    <xf numFmtId="164" fontId="4" fillId="0" borderId="0" xfId="1" applyFont="1" applyAlignment="1">
      <alignment wrapText="1"/>
    </xf>
    <xf numFmtId="4" fontId="4" fillId="2" borderId="0" xfId="1" applyNumberFormat="1" applyFont="1" applyFill="1"/>
    <xf numFmtId="4" fontId="4" fillId="0" borderId="0" xfId="0" applyNumberFormat="1" applyFont="1"/>
    <xf numFmtId="3" fontId="4" fillId="0" borderId="0" xfId="1" applyNumberFormat="1" applyFont="1" applyBorder="1" applyProtection="1">
      <protection locked="0"/>
    </xf>
    <xf numFmtId="3" fontId="0" fillId="0" borderId="0" xfId="1" applyNumberFormat="1" applyFont="1" applyBorder="1" applyProtection="1">
      <protection locked="0"/>
    </xf>
    <xf numFmtId="0" fontId="8" fillId="0" borderId="0" xfId="0" applyFont="1"/>
    <xf numFmtId="0" fontId="9" fillId="0" borderId="10" xfId="0" applyFont="1" applyBorder="1"/>
    <xf numFmtId="0" fontId="8" fillId="0" borderId="10" xfId="0" applyFont="1" applyBorder="1"/>
    <xf numFmtId="4" fontId="8" fillId="0" borderId="10" xfId="0" applyNumberFormat="1" applyFont="1" applyBorder="1"/>
    <xf numFmtId="0" fontId="8" fillId="0" borderId="10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4" fontId="9" fillId="0" borderId="10" xfId="0" applyNumberFormat="1" applyFont="1" applyBorder="1"/>
    <xf numFmtId="0" fontId="8" fillId="0" borderId="14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4" fontId="8" fillId="0" borderId="15" xfId="0" applyNumberFormat="1" applyFont="1" applyBorder="1"/>
    <xf numFmtId="4" fontId="8" fillId="0" borderId="16" xfId="0" applyNumberFormat="1" applyFont="1" applyBorder="1"/>
    <xf numFmtId="0" fontId="9" fillId="0" borderId="17" xfId="0" applyFont="1" applyBorder="1"/>
    <xf numFmtId="4" fontId="8" fillId="0" borderId="18" xfId="0" applyNumberFormat="1" applyFont="1" applyBorder="1"/>
    <xf numFmtId="0" fontId="8" fillId="0" borderId="17" xfId="0" applyFont="1" applyBorder="1" applyAlignment="1">
      <alignment vertical="top"/>
    </xf>
    <xf numFmtId="0" fontId="8" fillId="0" borderId="18" xfId="0" applyFont="1" applyBorder="1"/>
    <xf numFmtId="0" fontId="9" fillId="0" borderId="17" xfId="0" applyFont="1" applyBorder="1" applyAlignment="1">
      <alignment vertical="top"/>
    </xf>
    <xf numFmtId="0" fontId="9" fillId="0" borderId="18" xfId="0" applyFont="1" applyBorder="1"/>
    <xf numFmtId="0" fontId="8" fillId="0" borderId="19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4" fontId="8" fillId="0" borderId="20" xfId="0" applyNumberFormat="1" applyFont="1" applyBorder="1"/>
    <xf numFmtId="0" fontId="8" fillId="0" borderId="21" xfId="0" applyFont="1" applyBorder="1"/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4" fontId="7" fillId="0" borderId="3" xfId="0" applyNumberFormat="1" applyFont="1" applyBorder="1"/>
    <xf numFmtId="4" fontId="7" fillId="0" borderId="4" xfId="0" applyNumberFormat="1" applyFont="1" applyBorder="1"/>
    <xf numFmtId="0" fontId="8" fillId="0" borderId="19" xfId="0" applyFont="1" applyBorder="1"/>
    <xf numFmtId="0" fontId="8" fillId="0" borderId="20" xfId="0" applyFont="1" applyBorder="1"/>
    <xf numFmtId="4" fontId="8" fillId="0" borderId="21" xfId="0" applyNumberFormat="1" applyFont="1" applyBorder="1"/>
    <xf numFmtId="0" fontId="9" fillId="0" borderId="9" xfId="0" applyFont="1" applyBorder="1" applyAlignment="1">
      <alignment vertical="top"/>
    </xf>
    <xf numFmtId="3" fontId="9" fillId="0" borderId="9" xfId="0" applyNumberFormat="1" applyFont="1" applyBorder="1"/>
    <xf numFmtId="3" fontId="9" fillId="0" borderId="10" xfId="0" applyNumberFormat="1" applyFont="1" applyBorder="1"/>
    <xf numFmtId="0" fontId="9" fillId="0" borderId="1" xfId="0" applyFont="1" applyBorder="1" applyAlignment="1">
      <alignment vertical="top"/>
    </xf>
    <xf numFmtId="3" fontId="9" fillId="0" borderId="1" xfId="0" applyNumberFormat="1" applyFont="1" applyBorder="1"/>
    <xf numFmtId="0" fontId="7" fillId="0" borderId="2" xfId="0" applyFont="1" applyBorder="1" applyAlignment="1">
      <alignment horizontal="center"/>
    </xf>
    <xf numFmtId="4" fontId="2" fillId="0" borderId="3" xfId="0" applyNumberFormat="1" applyFont="1" applyBorder="1"/>
    <xf numFmtId="4" fontId="2" fillId="0" borderId="4" xfId="0" applyNumberFormat="1" applyFont="1" applyBorder="1"/>
    <xf numFmtId="0" fontId="7" fillId="0" borderId="19" xfId="0" applyFont="1" applyBorder="1" applyAlignment="1">
      <alignment horizontal="center"/>
    </xf>
    <xf numFmtId="4" fontId="2" fillId="0" borderId="20" xfId="0" applyNumberFormat="1" applyFont="1" applyBorder="1"/>
    <xf numFmtId="4" fontId="2" fillId="0" borderId="21" xfId="0" applyNumberFormat="1" applyFont="1" applyBorder="1"/>
    <xf numFmtId="0" fontId="0" fillId="0" borderId="0" xfId="0" applyAlignment="1" applyProtection="1">
      <alignment horizontal="center" vertical="center" wrapText="1"/>
      <protection locked="0" hidden="1"/>
    </xf>
    <xf numFmtId="0" fontId="0" fillId="0" borderId="0" xfId="0" applyProtection="1">
      <protection locked="0" hidden="1"/>
    </xf>
    <xf numFmtId="164" fontId="0" fillId="0" borderId="3" xfId="1" applyFont="1" applyBorder="1" applyProtection="1">
      <protection locked="0" hidden="1"/>
    </xf>
    <xf numFmtId="164" fontId="0" fillId="0" borderId="5" xfId="1" applyFont="1" applyBorder="1" applyProtection="1">
      <protection locked="0" hidden="1"/>
    </xf>
    <xf numFmtId="4" fontId="4" fillId="0" borderId="0" xfId="1" applyNumberFormat="1" applyFont="1" applyBorder="1" applyProtection="1">
      <protection hidden="1"/>
    </xf>
    <xf numFmtId="4" fontId="0" fillId="0" borderId="0" xfId="1" applyNumberFormat="1" applyFont="1" applyBorder="1" applyProtection="1">
      <protection hidden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10" xfId="0" applyNumberFormat="1" applyFont="1" applyBorder="1"/>
    <xf numFmtId="4" fontId="4" fillId="0" borderId="1" xfId="0" applyNumberFormat="1" applyFont="1" applyBorder="1"/>
    <xf numFmtId="4" fontId="4" fillId="0" borderId="24" xfId="0" applyNumberFormat="1" applyFont="1" applyBorder="1"/>
    <xf numFmtId="4" fontId="4" fillId="0" borderId="25" xfId="0" applyNumberFormat="1" applyFont="1" applyBorder="1"/>
    <xf numFmtId="4" fontId="4" fillId="0" borderId="23" xfId="0" applyNumberFormat="1" applyFont="1" applyBorder="1"/>
    <xf numFmtId="3" fontId="4" fillId="3" borderId="9" xfId="1" applyNumberFormat="1" applyFont="1" applyFill="1" applyBorder="1" applyProtection="1">
      <protection locked="0"/>
    </xf>
    <xf numFmtId="3" fontId="4" fillId="3" borderId="10" xfId="1" applyNumberFormat="1" applyFont="1" applyFill="1" applyBorder="1" applyProtection="1">
      <protection locked="0"/>
    </xf>
    <xf numFmtId="3" fontId="0" fillId="3" borderId="10" xfId="1" applyNumberFormat="1" applyFont="1" applyFill="1" applyBorder="1" applyProtection="1">
      <protection locked="0"/>
    </xf>
    <xf numFmtId="3" fontId="0" fillId="3" borderId="1" xfId="1" applyNumberFormat="1" applyFont="1" applyFill="1" applyBorder="1" applyProtection="1">
      <protection locked="0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09"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2" formatCode="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2" formatCode="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164" formatCode="_-* #,##0.00_-;\-* #,##0.00_-;_-* &quot;-&quot;??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164" formatCode="_-* #,##0.00_-;\-* #,##0.00_-;_-* &quot;-&quot;??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164" formatCode="_-* #,##0.00_-;\-* #,##0.00_-;_-* &quot;-&quot;??_-;_-@_-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</dxf>
    <dxf>
      <numFmt numFmtId="164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</dxf>
    <dxf>
      <numFmt numFmtId="164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</dxf>
    <dxf>
      <numFmt numFmtId="164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numFmt numFmtId="164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4" formatCode="#,##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4" formatCode="#,##0.00"/>
      <fill>
        <patternFill patternType="solid"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F422E3-75FD-4210-9A30-605813EB9419}" name="Table5" displayName="Table5" ref="A2:C29" totalsRowShown="0" headerRowDxfId="107" headerRowBorderDxfId="105" tableBorderDxfId="106" totalsRowBorderDxfId="104">
  <autoFilter ref="A2:C29" xr:uid="{98F422E3-75FD-4210-9A30-605813EB9419}"/>
  <tableColumns count="3">
    <tableColumn id="1" xr3:uid="{7C58DDDE-B3DE-4281-8AA7-A6465A274141}" name="Cultivo" dataDxfId="103"/>
    <tableColumn id="2" xr3:uid="{5975F951-6E4B-4FD8-829C-EC2E27809507}" name="Renglón" dataDxfId="102"/>
    <tableColumn id="3" xr3:uid="{F47F0994-E4B8-401C-8D4A-AC37262CFF81}" name="Rendimiento Potencial  (kg/ha)" dataDxfId="101" dataCellStyle="Comma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15C5F68-A620-4DEB-9AA0-59E4D3BFD40D}" name="Table68" displayName="Table68" ref="E2:J29" totalsRowShown="0" headerRowDxfId="100" dataDxfId="99" headerRowBorderDxfId="98">
  <autoFilter ref="E2:J29" xr:uid="{D15C5F68-A620-4DEB-9AA0-59E4D3BFD40D}"/>
  <tableColumns count="6">
    <tableColumn id="1" xr3:uid="{8AC54B31-98B4-4A9C-BB40-BF3DC5563694}" name="Cultivo" dataDxfId="97"/>
    <tableColumn id="6" xr3:uid="{5DDCF2D2-A9E9-4AD1-B603-1C8C5A93F3E0}" name="Renglon" dataDxfId="96"/>
    <tableColumn id="2" xr3:uid="{2C029106-09F6-4562-9BEF-98696EC16C0F}" name="Y-100 (ha)" dataDxfId="95">
      <calculatedColumnFormula>_xlfn.XLOOKUP(Table68[[#This Row],[Cultivo]],Table1[Cultivo],Table1[Área Nec. para Satisfacer 
 Consumo Local Total (ha)],"error",0,1)</calculatedColumnFormula>
    </tableColumn>
    <tableColumn id="3" xr3:uid="{3090E089-F837-4110-8E81-CF881B3EF811}" name="Y-75 (ha)" dataDxfId="94">
      <calculatedColumnFormula>_xlfn.XLOOKUP(Table68[[#This Row],[Cultivo]],Table8[Cultivo],Table8[Área Nec. para Satisfacer 
 Consumo Local Total (ha)],"error",0,1)</calculatedColumnFormula>
    </tableColumn>
    <tableColumn id="4" xr3:uid="{0E38F680-99DA-4E94-B9F7-0485AA656634}" name="Y-50 (ha)" dataDxfId="93">
      <calculatedColumnFormula>_xlfn.XLOOKUP(Table68[[#This Row],[Cultivo]],Table4[Cultivo],Table4[Área Nec. para Satisfacer 
 Consumo Local Total (ha)],"error",0,1)</calculatedColumnFormula>
    </tableColumn>
    <tableColumn id="5" xr3:uid="{EB5DE556-3C8D-4683-BC7E-0C88143AC6F1}" name="Y-actual (ha)" dataDxfId="92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2AB2651-A4C1-4895-A510-64B188E511FF}" name="Table79" displayName="Table79" ref="L2:P8" totalsRowShown="0" headerRowDxfId="91" dataDxfId="90" headerRowBorderDxfId="88" tableBorderDxfId="89">
  <autoFilter ref="L2:P8" xr:uid="{92AB2651-A4C1-4895-A510-64B188E511FF}"/>
  <tableColumns count="5">
    <tableColumn id="1" xr3:uid="{FB0A8F8E-124B-49E6-AE94-6B99851AE166}" name="Renglon" dataDxfId="87"/>
    <tableColumn id="2" xr3:uid="{E11ADE29-10BD-4E06-8BAF-FB0F96DBBC3D}" name="Y-100 (ha)" dataDxfId="86">
      <calculatedColumnFormula>SUMIF(Table68[Renglon],Table79[[#This Row],[Renglon]],Table68[Y-100 (ha)])</calculatedColumnFormula>
    </tableColumn>
    <tableColumn id="3" xr3:uid="{48DD8E64-1292-49EB-81D7-07C3F0FE83EC}" name="Y-75 (ha)" dataDxfId="85">
      <calculatedColumnFormula>SUMIF(Table68[Renglon],Table79[[#This Row],[Renglon]],Table68[Y-75 (ha)])</calculatedColumnFormula>
    </tableColumn>
    <tableColumn id="4" xr3:uid="{7C5B7BF5-5497-44F9-B1F3-3E856BBDCC92}" name="Y-50 (ha)" dataDxfId="84">
      <calculatedColumnFormula>SUMIF(Table68[Renglon],Table79[[#This Row],[Renglon]],Table68[Y-50 (ha)])</calculatedColumnFormula>
    </tableColumn>
    <tableColumn id="5" xr3:uid="{A51F19E8-2F92-4B4A-9420-B40BB9A729F1}" name="Y-actual" dataDxfId="83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6D7B70-0B75-4429-90C6-C5D09A491297}" name="Table1" displayName="Table1" ref="A1:M28" headerRowDxfId="82" dataDxfId="81" tableBorderDxfId="80" dataCellStyle="Comma">
  <autoFilter ref="A1:M28" xr:uid="{9F6D7B70-0B75-4429-90C6-C5D09A491297}"/>
  <sortState xmlns:xlrd2="http://schemas.microsoft.com/office/spreadsheetml/2017/richdata2" ref="A2:M28">
    <sortCondition ref="B1:B28"/>
  </sortState>
  <tableColumns count="13">
    <tableColumn id="1" xr3:uid="{98DDBCEE-3944-45F1-B062-17394AE28A42}" name="Cultivo" totalsRowLabel="Total" dataDxfId="79"/>
    <tableColumn id="2" xr3:uid="{B096182A-A4CF-454C-9535-762B2B17E627}" name="Renglón" dataDxfId="78"/>
    <tableColumn id="4" xr3:uid="{3CC576D3-1532-49E3-8D93-33979CDD7741}" name="Producción Local (Toneladas)" dataDxfId="76" totalsRowDxfId="77" dataCellStyle="Comma"/>
    <tableColumn id="6" xr3:uid="{CE6407B9-11BE-478C-9667-FB823C141E53}" name="Importación (Toneladas)" dataDxfId="74" totalsRowDxfId="75" dataCellStyle="Comma"/>
    <tableColumn id="8" xr3:uid="{2405565F-579B-48E0-8B4E-3F1B19C34EF3}" name="Exportación (Toneladas)" dataDxfId="72" totalsRowDxfId="73" dataCellStyle="Comma"/>
    <tableColumn id="10" xr3:uid="{CE790422-9A68-4D0B-BFEC-1B7F1D2DE1CB}" name="Importación Neta (Toneladas)" dataDxfId="70" totalsRowDxfId="71" dataCellStyle="Comma"/>
    <tableColumn id="12" xr3:uid="{3EFDAC9F-7B43-405E-A4B3-3E5307291EE2}" name="Disponible Para Consumo (Toneladas)" dataDxfId="68" totalsRowDxfId="69" dataCellStyle="Comma"/>
    <tableColumn id="14" xr3:uid="{BD196C1A-5FCA-4EF1-A114-572F126F87EA}" name="RR100  (kg/ha)" dataDxfId="67" dataCellStyle="Comma">
      <calculatedColumnFormula>_xlfn.XLOOKUP(Table1[[#This Row],[Cultivo]],Table5[Cultivo],Table5[Rendimiento Potencial  (kg/ha)],"error",0,1)</calculatedColumnFormula>
    </tableColumn>
    <tableColumn id="16" xr3:uid="{0E125083-B7B0-4CC9-A528-C1B8668912E8}" name="Área Nec. para Satisfacer _x000a_ Consumo Local Total (ha)" totalsRowFunction="sum" dataDxfId="65" totalsRowDxfId="66" dataCellStyle="Comma">
      <calculatedColumnFormula>Table1[[#This Row],[Disponible Para Consumo (Toneladas)]]*1000/Table1[[#This Row],[RR100  (kg/ha)]]</calculatedColumnFormula>
    </tableColumn>
    <tableColumn id="18" xr3:uid="{582A1EFB-565D-459C-B0EE-908FBEE6E5BD}" name="Area local en produccion estimada (ha)" totalsRowFunction="sum" dataDxfId="64" dataCellStyle="Comma">
      <calculatedColumnFormula>Table1[[#This Row],[Producción Local (Toneladas)]]*1000/Table1[[#This Row],[RR100  (kg/ha)]]</calculatedColumnFormula>
    </tableColumn>
    <tableColumn id="20" xr3:uid="{505B9FFF-B2BE-4436-8BF5-735677D6F0BF}" name="Area adicional necesaria estimada (ha)" totalsRowFunction="sum" dataDxfId="62" totalsRowDxfId="63" dataCellStyle="Comma">
      <calculatedColumnFormula>Table1[[#This Row],[Área Nec. para Satisfacer 
 Consumo Local Total (ha)]]-Table1[[#This Row],[Area local en produccion estimada (ha)]]</calculatedColumnFormula>
    </tableColumn>
    <tableColumn id="21" xr3:uid="{30C3735E-8705-46B3-8E69-43C951CCD799}" name="Area local en prod. (%)" totalsRowFunction="average" dataDxfId="60" totalsRowDxfId="61" dataCellStyle="Comma">
      <calculatedColumnFormula>Table1[[#This Row],[Area local en produccion estimada (ha)]]/Table1[[#This Row],[Área Nec. para Satisfacer 
 Consumo Local Total (ha)]]*100</calculatedColumnFormula>
    </tableColumn>
    <tableColumn id="22" xr3:uid="{FA84A9B2-409D-439B-8100-1ADBDC2BC36B}" name="Area adicional neccesaria (%)" totalsRowFunction="average" dataDxfId="58" totalsRowDxfId="59" dataCellStyle="Comma">
      <calculatedColumnFormula>Table1[[#This Row],[Area adicional necesaria estimada (ha)]]/Table1[[#This Row],[Área Nec. para Satisfacer 
 Consumo Local Total (ha)]]*100</calculatedColumnFormula>
    </tableColumn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F53C7E-0670-4532-B59F-82D1E571ECC1}" name="Table8" displayName="Table8" ref="A1:M28" headerRowDxfId="57" dataDxfId="56" totalsRowDxfId="55" tableBorderDxfId="54" dataCellStyle="Comma">
  <autoFilter ref="A1:M28" xr:uid="{25F53C7E-0670-4532-B59F-82D1E571ECC1}"/>
  <sortState xmlns:xlrd2="http://schemas.microsoft.com/office/spreadsheetml/2017/richdata2" ref="A2:M28">
    <sortCondition ref="A1:A28"/>
  </sortState>
  <tableColumns count="13">
    <tableColumn id="1" xr3:uid="{6DDF43C9-3579-4A44-B6DD-08B8B4579968}" name="Cultivo" totalsRowLabel="Total" dataDxfId="52" totalsRowDxfId="53"/>
    <tableColumn id="13" xr3:uid="{0FD9365F-6F84-4296-B540-EC9C48D725AF}" name="Renglon" dataDxfId="50" totalsRowDxfId="51"/>
    <tableColumn id="14" xr3:uid="{7A7BBC63-5DD5-4F5D-ACBE-915CA5AAA283}" name="Producción Local (Toneladas)" dataDxfId="48" totalsRowDxfId="49" dataCellStyle="Comma"/>
    <tableColumn id="15" xr3:uid="{356B02EB-E78A-44B2-9A9F-4AF694B6DDD4}" name="Importación (Toneladas)" dataDxfId="46" totalsRowDxfId="47"/>
    <tableColumn id="16" xr3:uid="{81D8BFA4-C804-478A-A9E6-45E090CCFC8C}" name="Exportación (toneladas)" dataDxfId="44" totalsRowDxfId="45" dataCellStyle="Comma"/>
    <tableColumn id="17" xr3:uid="{15B61AA1-5724-42C2-83FB-B8F6C55C974C}" name="Importación Neta (Toneladas)" dataDxfId="42" totalsRowDxfId="43" dataCellStyle="Comma"/>
    <tableColumn id="18" xr3:uid="{E8283059-A9E1-47A3-9986-F50CC9BA58AA}" name="Disponible para consumo (Toneladas)" dataDxfId="40" totalsRowDxfId="41"/>
    <tableColumn id="19" xr3:uid="{C9A51316-C8EC-4E1F-B034-FBC5B852351D}" name="RR 75 (kg/ha)" dataDxfId="38" totalsRowDxfId="39" dataCellStyle="Comma">
      <calculatedColumnFormula>_xlfn.XLOOKUP(Table8[[#This Row],[Cultivo]],Table5[Cultivo],Table5[Rendimiento Potencial  (kg/ha)],"error",0,1)*0.75</calculatedColumnFormula>
    </tableColumn>
    <tableColumn id="20" xr3:uid="{33342FFF-26FE-4D1D-B596-8DBADB9087C0}" name="Área Nec. para Satisfacer _x000a_ Consumo Local Total (ha)" totalsRowFunction="sum" dataDxfId="36" totalsRowDxfId="37" dataCellStyle="Comma">
      <calculatedColumnFormula>Table8[[#This Row],[Disponible para consumo (Toneladas)]]*1000/Table8[[#This Row],[RR 75 (kg/ha)]]</calculatedColumnFormula>
    </tableColumn>
    <tableColumn id="21" xr3:uid="{E0732BB7-E556-4B1C-B8A5-3D85278F7499}" name="Area local en produccion estimada (ha)" totalsRowFunction="sum" dataDxfId="34" totalsRowDxfId="35" dataCellStyle="Comma">
      <calculatedColumnFormula>Table8[[#This Row],[Producción Local (Toneladas)]]*1000/Table8[[#This Row],[RR 75 (kg/ha)]]</calculatedColumnFormula>
    </tableColumn>
    <tableColumn id="22" xr3:uid="{4ADAEAFF-28C4-4131-B5DF-35698D7C7FA8}" name="Area adicional necesaria estimada (ha)" totalsRowFunction="sum" dataDxfId="32" totalsRowDxfId="33" dataCellStyle="Comma">
      <calculatedColumnFormula>Table8[[#This Row],[Área Nec. para Satisfacer 
 Consumo Local Total (ha)]]-Table8[[#This Row],[Area local en produccion estimada (ha)]]</calculatedColumnFormula>
    </tableColumn>
    <tableColumn id="11" xr3:uid="{C10AB3F1-E1F7-4C01-BC19-A07150231549}" name="% area local en prod" totalsRowFunction="average" dataDxfId="30" totalsRowDxfId="31">
      <calculatedColumnFormula>Table8[[#This Row],[Area local en produccion estimada (ha)]]/Table8[[#This Row],[Área Nec. para Satisfacer 
 Consumo Local Total (ha)]]*100</calculatedColumnFormula>
    </tableColumn>
    <tableColumn id="12" xr3:uid="{75E39F25-7DA0-4E3B-8D0B-5775DD981265}" name="% area adicional neccesaria" totalsRowFunction="average" dataDxfId="28" totalsRowDxfId="29">
      <calculatedColumnFormula>Table8[[#This Row],[Area adicional necesaria estimada (ha)]]/Table8[[#This Row],[Área Nec. para Satisfacer 
 Consumo Local Total (ha)]]*100</calculatedColumnFormula>
    </tableColumn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93E526-BC33-4580-A1C3-54F09BABEDE7}" name="Table4" displayName="Table4" ref="A1:M28" headerRowDxfId="27" dataDxfId="26">
  <autoFilter ref="A1:M28" xr:uid="{4893E526-BC33-4580-A1C3-54F09BABEDE7}"/>
  <sortState xmlns:xlrd2="http://schemas.microsoft.com/office/spreadsheetml/2017/richdata2" ref="A2:M28">
    <sortCondition ref="B1:B28"/>
  </sortState>
  <tableColumns count="13">
    <tableColumn id="1" xr3:uid="{5BE9BB46-B299-4F31-8891-22D215622F7A}" name="Cultivo" totalsRowLabel="Total" dataDxfId="24" totalsRowDxfId="25" dataCellStyle="Comma" totalsRowCellStyle="Comma"/>
    <tableColumn id="2" xr3:uid="{278B62F7-609F-4E5C-AAEB-7A03771126DD}" name="Renglón" dataDxfId="22" totalsRowDxfId="23" dataCellStyle="Comma" totalsRowCellStyle="Comma"/>
    <tableColumn id="4" xr3:uid="{E7D55208-CCA2-45E4-BCCA-33A6C03FD190}" name="Producción Local (Toneladas)" totalsRowFunction="custom" dataDxfId="20" totalsRowDxfId="21" dataCellStyle="Comma" totalsRowCellStyle="Comma">
      <totalsRowFormula>SUBTOTAL(109,C2:C28)</totalsRowFormula>
    </tableColumn>
    <tableColumn id="6" xr3:uid="{13B5D925-8A9B-443C-BB43-B1A2FA2C9A8F}" name="Importación (Toneladas)" totalsRowFunction="custom" dataDxfId="18" totalsRowDxfId="19" dataCellStyle="Comma" totalsRowCellStyle="Comma">
      <totalsRowFormula>SUBTOTAL(109,D2:D28)</totalsRowFormula>
    </tableColumn>
    <tableColumn id="8" xr3:uid="{E2185801-F9AB-4164-902B-052EBDEC9686}" name="Exportación (Toneladas)" totalsRowFunction="custom" dataDxfId="16" totalsRowDxfId="17" dataCellStyle="Comma" totalsRowCellStyle="Comma">
      <totalsRowFormula>SUBTOTAL(109,E2:E28)</totalsRowFormula>
    </tableColumn>
    <tableColumn id="10" xr3:uid="{76933063-6F63-469C-A1D1-99B35DACA046}" name="Importación Neta (Toneladas)" totalsRowFunction="custom" dataDxfId="14" totalsRowDxfId="15" dataCellStyle="Comma" totalsRowCellStyle="Comma">
      <totalsRowFormula>SUBTOTAL(109,F2:F28)</totalsRowFormula>
    </tableColumn>
    <tableColumn id="12" xr3:uid="{37BB8F0A-27E1-45C2-8860-3DBFEC95447B}" name="Disponible Para Consumo (Toneladas)" totalsRowFunction="custom" dataDxfId="12" totalsRowDxfId="13" dataCellStyle="Comma" totalsRowCellStyle="Comma">
      <totalsRowFormula>SUBTOTAL(109,G2:G28)</totalsRowFormula>
    </tableColumn>
    <tableColumn id="14" xr3:uid="{3128A0C1-9193-43CD-8573-59D54ABE2E38}" name="RR50  (kg/ha)" totalsRowFunction="custom" dataDxfId="10" totalsRowDxfId="11" dataCellStyle="Comma" totalsRowCellStyle="Comma">
      <calculatedColumnFormula>_xlfn.XLOOKUP(Table4[[#This Row],[Cultivo]],Table5[Cultivo],Table5[Rendimiento Potencial  (kg/ha)],"error",0,1)*0.5</calculatedColumnFormula>
      <totalsRowFormula>SUBTOTAL(109,H2:H28)</totalsRowFormula>
    </tableColumn>
    <tableColumn id="16" xr3:uid="{42C6E760-6031-4036-B988-88519C5C5388}" name="Área Nec. para Satisfacer _x000a_ Consumo Local Total (ha)" totalsRowFunction="custom" dataDxfId="8" totalsRowDxfId="9" dataCellStyle="Comma" totalsRowCellStyle="Comma">
      <calculatedColumnFormula>Table4[[#This Row],[Disponible Para Consumo (Toneladas)]]*1000/Table4[[#This Row],[RR50  (kg/ha)]]</calculatedColumnFormula>
      <totalsRowFormula>SUBTOTAL(109,I2:I28)</totalsRowFormula>
    </tableColumn>
    <tableColumn id="18" xr3:uid="{09978840-F272-4058-8FC6-504CF554945C}" name="Area local en produccion estimada (ha)" totalsRowFunction="sum" dataDxfId="6" totalsRowDxfId="7" dataCellStyle="Comma" totalsRowCellStyle="Comma">
      <calculatedColumnFormula>Table4[[#This Row],[Producción Local (Toneladas)]]*1000/Table4[[#This Row],[RR50  (kg/ha)]]</calculatedColumnFormula>
    </tableColumn>
    <tableColumn id="20" xr3:uid="{86EBBD4B-FEC5-45B4-82AA-2DCB3929049D}" name="Area adicional necesaria estimada (ha)" totalsRowFunction="sum" dataDxfId="4" totalsRowDxfId="5" dataCellStyle="Comma" totalsRowCellStyle="Comma">
      <calculatedColumnFormula>Table4[[#This Row],[Área Nec. para Satisfacer 
 Consumo Local Total (ha)]]-Table4[[#This Row],[Area local en produccion estimada (ha)]]</calculatedColumnFormula>
    </tableColumn>
    <tableColumn id="21" xr3:uid="{CF34BCC8-0EAF-4002-8BFF-8BC62E2BAF63}" name="Area local en prod. (%)" totalsRowFunction="average" dataDxfId="2" totalsRowDxfId="3" dataCellStyle="Comma" totalsRowCellStyle="Comma">
      <calculatedColumnFormula>Table4[[#This Row],[Area local en produccion estimada (ha)]]/Table4[[#This Row],[Área Nec. para Satisfacer 
 Consumo Local Total (ha)]]*100</calculatedColumnFormula>
    </tableColumn>
    <tableColumn id="22" xr3:uid="{B97B960C-6FA6-45E8-A962-205749D14E78}" name="Area adicional neccesaria (%)" totalsRowFunction="average" dataDxfId="0" totalsRowDxfId="1" dataCellStyle="Comma" totalsRowCellStyle="Comma">
      <calculatedColumnFormula>Table4[[#This Row],[Area adicional necesaria estimada (ha)]]/Table4[[#This Row],[Área Nec. para Satisfacer 
 Consumo Local Total (ha)]]*100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3822-AC95-41FA-AB8E-9CAD132EB8D7}">
  <dimension ref="A1:P32"/>
  <sheetViews>
    <sheetView tabSelected="1" zoomScale="85" zoomScaleNormal="85" workbookViewId="0">
      <selection activeCell="C3" sqref="C3"/>
    </sheetView>
  </sheetViews>
  <sheetFormatPr defaultRowHeight="15"/>
  <cols>
    <col min="1" max="1" width="27.140625" customWidth="1"/>
    <col min="2" max="2" width="27.28515625" customWidth="1"/>
    <col min="3" max="3" width="18.140625" customWidth="1"/>
    <col min="5" max="5" width="24.85546875" customWidth="1"/>
    <col min="6" max="6" width="22.7109375" bestFit="1" customWidth="1"/>
    <col min="7" max="7" width="15.140625" bestFit="1" customWidth="1"/>
    <col min="8" max="9" width="14.140625" bestFit="1" customWidth="1"/>
    <col min="10" max="10" width="13.28515625" bestFit="1" customWidth="1"/>
    <col min="12" max="12" width="26.28515625" bestFit="1" customWidth="1"/>
    <col min="13" max="13" width="20.140625" bestFit="1" customWidth="1"/>
    <col min="14" max="15" width="19.140625" bestFit="1" customWidth="1"/>
    <col min="16" max="16" width="18.28515625" bestFit="1" customWidth="1"/>
  </cols>
  <sheetData>
    <row r="1" spans="1:16" ht="15.75" customHeight="1" thickBot="1">
      <c r="E1" s="97" t="s">
        <v>0</v>
      </c>
      <c r="F1" s="98"/>
      <c r="G1" s="98"/>
      <c r="H1" s="98"/>
      <c r="I1" s="98"/>
      <c r="J1" s="99"/>
      <c r="L1" s="100" t="s">
        <v>0</v>
      </c>
      <c r="M1" s="101"/>
      <c r="N1" s="101"/>
      <c r="O1" s="101"/>
      <c r="P1" s="102"/>
    </row>
    <row r="2" spans="1:16" ht="48" customHeight="1" thickBot="1">
      <c r="A2" s="86" t="s">
        <v>1</v>
      </c>
      <c r="B2" s="82" t="s">
        <v>2</v>
      </c>
      <c r="C2" s="86" t="s">
        <v>3</v>
      </c>
      <c r="E2" s="79" t="s">
        <v>1</v>
      </c>
      <c r="F2" s="80" t="s">
        <v>4</v>
      </c>
      <c r="G2" s="80" t="s">
        <v>5</v>
      </c>
      <c r="H2" s="80" t="s">
        <v>6</v>
      </c>
      <c r="I2" s="80" t="s">
        <v>7</v>
      </c>
      <c r="J2" s="81" t="s">
        <v>8</v>
      </c>
      <c r="L2" s="83" t="s">
        <v>4</v>
      </c>
      <c r="M2" s="84" t="s">
        <v>5</v>
      </c>
      <c r="N2" s="84" t="s">
        <v>6</v>
      </c>
      <c r="O2" s="84" t="s">
        <v>7</v>
      </c>
      <c r="P2" s="85" t="s">
        <v>9</v>
      </c>
    </row>
    <row r="3" spans="1:16">
      <c r="A3" s="87" t="s">
        <v>10</v>
      </c>
      <c r="B3" s="90" t="s">
        <v>10</v>
      </c>
      <c r="C3" s="93">
        <v>1382.55118795983</v>
      </c>
      <c r="E3" s="41" t="s">
        <v>10</v>
      </c>
      <c r="F3" s="42" t="s">
        <v>10</v>
      </c>
      <c r="G3" s="43">
        <f>_xlfn.XLOOKUP(Table68[[#This Row],[Cultivo]],Table1[Cultivo],Table1[Área Nec. para Satisfacer 
 Consumo Local Total (ha)],"error",0,1)</f>
        <v>10129.243219597549</v>
      </c>
      <c r="H3" s="43">
        <f>_xlfn.XLOOKUP(Table68[[#This Row],[Cultivo]],Table8[Cultivo],Table8[Área Nec. para Satisfacer 
 Consumo Local Total (ha)],"error",0,1)</f>
        <v>13505.657626130065</v>
      </c>
      <c r="I3" s="43">
        <f>_xlfn.XLOOKUP(Table68[[#This Row],[Cultivo]],Table4[Cultivo],Table4[Área Nec. para Satisfacer 
 Consumo Local Total (ha)],"error",0,1)</f>
        <v>20258.486439195098</v>
      </c>
      <c r="J3" s="44"/>
      <c r="L3" s="62" t="s">
        <v>10</v>
      </c>
      <c r="M3" s="63">
        <f>SUMIF(Table68[Renglon],Table79[[#This Row],[Renglon]],Table68[Y-100 (ha)])</f>
        <v>10129.243219597549</v>
      </c>
      <c r="N3" s="63">
        <f>SUMIF(Table68[Renglon],Table79[[#This Row],[Renglon]],Table68[Y-75 (ha)])</f>
        <v>13505.657626130065</v>
      </c>
      <c r="O3" s="63">
        <f>SUMIF(Table68[Renglon],Table79[[#This Row],[Renglon]],Table68[Y-50 (ha)])</f>
        <v>20258.486439195098</v>
      </c>
      <c r="P3" s="63"/>
    </row>
    <row r="4" spans="1:16">
      <c r="A4" s="88" t="s">
        <v>11</v>
      </c>
      <c r="B4" s="91" t="s">
        <v>12</v>
      </c>
      <c r="C4" s="94">
        <v>783.44567317723693</v>
      </c>
      <c r="E4" s="45" t="s">
        <v>11</v>
      </c>
      <c r="F4" s="36" t="s">
        <v>12</v>
      </c>
      <c r="G4" s="37">
        <f>_xlfn.XLOOKUP(Table68[[#This Row],[Cultivo]],Table1[Cultivo],Table1[Área Nec. para Satisfacer 
 Consumo Local Total (ha)],"error",0,1)</f>
        <v>76583.564922031801</v>
      </c>
      <c r="H4" s="37">
        <f>_xlfn.XLOOKUP(Table68[[#This Row],[Cultivo]],Table8[Cultivo],Table8[Área Nec. para Satisfacer 
 Consumo Local Total (ha)],"error",0,1)</f>
        <v>102111.41989604241</v>
      </c>
      <c r="I4" s="37">
        <f>_xlfn.XLOOKUP(Table68[[#This Row],[Cultivo]],Table4[Cultivo],Table4[Área Nec. para Satisfacer 
 Consumo Local Total (ha)],"error",0,1)</f>
        <v>153167.1298440636</v>
      </c>
      <c r="J4" s="46"/>
      <c r="L4" s="35" t="s">
        <v>12</v>
      </c>
      <c r="M4" s="63">
        <f>SUMIF(Table68[Renglon],Table79[[#This Row],[Renglon]],Table68[Y-100 (ha)])</f>
        <v>76583.564922031801</v>
      </c>
      <c r="N4" s="63">
        <f>SUMIF(Table68[Renglon],Table79[[#This Row],[Renglon]],Table68[Y-75 (ha)])</f>
        <v>102111.41989604241</v>
      </c>
      <c r="O4" s="63">
        <f>SUMIF(Table68[Renglon],Table79[[#This Row],[Renglon]],Table68[Y-50 (ha)])</f>
        <v>153167.1298440636</v>
      </c>
      <c r="P4" s="64"/>
    </row>
    <row r="5" spans="1:16">
      <c r="A5" s="88" t="s">
        <v>13</v>
      </c>
      <c r="B5" s="91" t="s">
        <v>14</v>
      </c>
      <c r="C5" s="94">
        <v>30258.851979025869</v>
      </c>
      <c r="E5" s="47" t="s">
        <v>13</v>
      </c>
      <c r="F5" s="38" t="s">
        <v>14</v>
      </c>
      <c r="G5" s="37">
        <f>_xlfn.XLOOKUP(Table68[[#This Row],[Cultivo]],Table1[Cultivo],Table1[Área Nec. para Satisfacer 
 Consumo Local Total (ha)],"error",0,1)</f>
        <v>36.081442019172236</v>
      </c>
      <c r="H5" s="37">
        <f>_xlfn.XLOOKUP(Table68[[#This Row],[Cultivo]],Table8[Cultivo],Table8[Área Nec. para Satisfacer 
 Consumo Local Total (ha)],"error",0,1)</f>
        <v>48.108589358896317</v>
      </c>
      <c r="I5" s="37">
        <f>_xlfn.XLOOKUP(Table68[[#This Row],[Cultivo]],Table4[Cultivo],Table4[Área Nec. para Satisfacer 
 Consumo Local Total (ha)],"error",0,1)</f>
        <v>72.162884038344473</v>
      </c>
      <c r="J5" s="48"/>
      <c r="L5" s="39" t="s">
        <v>14</v>
      </c>
      <c r="M5" s="63">
        <f>SUMIF(Table68[Renglon],Table79[[#This Row],[Renglon]],Table68[Y-100 (ha)])</f>
        <v>71.686876232917569</v>
      </c>
      <c r="N5" s="63">
        <f>SUMIF(Table68[Renglon],Table79[[#This Row],[Renglon]],Table68[Y-75 (ha)])</f>
        <v>95.582501643890083</v>
      </c>
      <c r="O5" s="64">
        <f>SUMIF(Table68[Renglon],Table79[[#This Row],[Renglon]],Table68[Y-50 (ha)])</f>
        <v>143.37375246583514</v>
      </c>
      <c r="P5" s="35"/>
    </row>
    <row r="6" spans="1:16">
      <c r="A6" s="88" t="s">
        <v>15</v>
      </c>
      <c r="B6" s="91" t="s">
        <v>14</v>
      </c>
      <c r="C6" s="94">
        <v>18309.10769202856</v>
      </c>
      <c r="E6" s="47" t="s">
        <v>15</v>
      </c>
      <c r="F6" s="38" t="s">
        <v>14</v>
      </c>
      <c r="G6" s="37">
        <f>_xlfn.XLOOKUP(Table68[[#This Row],[Cultivo]],Table1[Cultivo],Table1[Área Nec. para Satisfacer 
 Consumo Local Total (ha)],"error",0,1)</f>
        <v>35.605434213745326</v>
      </c>
      <c r="H6" s="37">
        <f>_xlfn.XLOOKUP(Table68[[#This Row],[Cultivo]],Table8[Cultivo],Table8[Área Nec. para Satisfacer 
 Consumo Local Total (ha)],"error",0,1)</f>
        <v>47.473912284993766</v>
      </c>
      <c r="I6" s="37">
        <f>_xlfn.XLOOKUP(Table68[[#This Row],[Cultivo]],Table4[Cultivo],Table4[Área Nec. para Satisfacer 
 Consumo Local Total (ha)],"error",0,1)</f>
        <v>71.210868427490652</v>
      </c>
      <c r="J6" s="48"/>
      <c r="L6" s="39" t="s">
        <v>16</v>
      </c>
      <c r="M6" s="63">
        <f>SUMIF(Table68[Renglon],Table79[[#This Row],[Renglon]],Table68[Y-100 (ha)])</f>
        <v>2040.6188534125545</v>
      </c>
      <c r="N6" s="63">
        <f>SUMIF(Table68[Renglon],Table79[[#This Row],[Renglon]],Table68[Y-75 (ha)])</f>
        <v>2720.8251378834057</v>
      </c>
      <c r="O6" s="64">
        <f>SUMIF(Table68[Renglon],Table79[[#This Row],[Renglon]],Table68[Y-50 (ha)])</f>
        <v>4081.2377068251089</v>
      </c>
      <c r="P6" s="35"/>
    </row>
    <row r="7" spans="1:16">
      <c r="A7" s="88" t="s">
        <v>17</v>
      </c>
      <c r="B7" s="91" t="s">
        <v>16</v>
      </c>
      <c r="C7" s="95">
        <v>12097.322894648512</v>
      </c>
      <c r="E7" s="47" t="s">
        <v>17</v>
      </c>
      <c r="F7" s="39" t="s">
        <v>16</v>
      </c>
      <c r="G7" s="37">
        <f>_xlfn.XLOOKUP(Table68[[#This Row],[Cultivo]],Table1[Cultivo],Table1[Área Nec. para Satisfacer 
 Consumo Local Total (ha)],"error",0,1)</f>
        <v>42.374703162104737</v>
      </c>
      <c r="H7" s="37">
        <f>_xlfn.XLOOKUP(Table68[[#This Row],[Cultivo]],Table8[Cultivo],Table8[Área Nec. para Satisfacer 
 Consumo Local Total (ha)],"error",0,1)</f>
        <v>56.499604216139652</v>
      </c>
      <c r="I7" s="37">
        <f>_xlfn.XLOOKUP(Table68[[#This Row],[Cultivo]],Table4[Cultivo],Table4[Área Nec. para Satisfacer 
 Consumo Local Total (ha)],"error",0,1)</f>
        <v>84.749406324209474</v>
      </c>
      <c r="J7" s="48"/>
      <c r="L7" s="39" t="s">
        <v>18</v>
      </c>
      <c r="M7" s="63">
        <f>SUMIF(Table68[Renglon],Table79[[#This Row],[Renglon]],Table68[Y-100 (ha)])</f>
        <v>1313.2624240516232</v>
      </c>
      <c r="N7" s="63">
        <f>SUMIF(Table68[Renglon],Table79[[#This Row],[Renglon]],Table68[Y-75 (ha)])</f>
        <v>1751.0165654021644</v>
      </c>
      <c r="O7" s="64">
        <f>SUMIF(Table68[Renglon],Table79[[#This Row],[Renglon]],Table68[Y-50 (ha)])</f>
        <v>2626.5248481032463</v>
      </c>
      <c r="P7" s="64"/>
    </row>
    <row r="8" spans="1:16">
      <c r="A8" s="88" t="s">
        <v>19</v>
      </c>
      <c r="B8" s="91" t="s">
        <v>16</v>
      </c>
      <c r="C8" s="95">
        <v>20162.204824414188</v>
      </c>
      <c r="E8" s="47" t="s">
        <v>19</v>
      </c>
      <c r="F8" s="39" t="s">
        <v>16</v>
      </c>
      <c r="G8" s="37">
        <f>_xlfn.XLOOKUP(Table68[[#This Row],[Cultivo]],Table1[Cultivo],Table1[Área Nec. para Satisfacer 
 Consumo Local Total (ha)],"error",0,1)</f>
        <v>379.90251218597678</v>
      </c>
      <c r="H8" s="37">
        <f>_xlfn.XLOOKUP(Table68[[#This Row],[Cultivo]],Table8[Cultivo],Table8[Área Nec. para Satisfacer 
 Consumo Local Total (ha)],"error",0,1)</f>
        <v>506.53668291463572</v>
      </c>
      <c r="I8" s="37">
        <f>_xlfn.XLOOKUP(Table68[[#This Row],[Cultivo]],Table4[Cultivo],Table4[Área Nec. para Satisfacer 
 Consumo Local Total (ha)],"error",0,1)</f>
        <v>759.80502437195355</v>
      </c>
      <c r="J8" s="48"/>
      <c r="L8" s="65" t="s">
        <v>20</v>
      </c>
      <c r="M8" s="63">
        <f>SUMIF(Table68[Renglon],Table79[[#This Row],[Renglon]],Table68[Y-100 (ha)])</f>
        <v>2082.4429594950684</v>
      </c>
      <c r="N8" s="63">
        <f>SUMIF(Table68[Renglon],Table79[[#This Row],[Renglon]],Table68[Y-75 (ha)])</f>
        <v>2776.5906126600912</v>
      </c>
      <c r="O8" s="66">
        <f>SUMIF(Table68[Renglon],Table79[[#This Row],[Renglon]],Table68[Y-50 (ha)])</f>
        <v>4164.8859189901368</v>
      </c>
      <c r="P8" s="66"/>
    </row>
    <row r="9" spans="1:16" ht="15.75" thickBot="1">
      <c r="A9" s="88" t="s">
        <v>21</v>
      </c>
      <c r="B9" s="91" t="s">
        <v>16</v>
      </c>
      <c r="C9" s="94">
        <v>14401.574874581562</v>
      </c>
      <c r="E9" s="47" t="s">
        <v>21</v>
      </c>
      <c r="F9" s="39" t="s">
        <v>16</v>
      </c>
      <c r="G9" s="37">
        <f>_xlfn.XLOOKUP(Table68[[#This Row],[Cultivo]],Table1[Cultivo],Table1[Área Nec. para Satisfacer 
 Consumo Local Total (ha)],"error",0,1)</f>
        <v>381.67874015748032</v>
      </c>
      <c r="H9" s="37">
        <f>_xlfn.XLOOKUP(Table68[[#This Row],[Cultivo]],Table8[Cultivo],Table8[Área Nec. para Satisfacer 
 Consumo Local Total (ha)],"error",0,1)</f>
        <v>508.90498687664046</v>
      </c>
      <c r="I9" s="37">
        <f>_xlfn.XLOOKUP(Table68[[#This Row],[Cultivo]],Table4[Cultivo],Table4[Área Nec. para Satisfacer 
 Consumo Local Total (ha)],"error",0,1)</f>
        <v>763.35748031496064</v>
      </c>
      <c r="J9" s="48"/>
      <c r="L9" s="34"/>
      <c r="M9" s="34"/>
      <c r="N9" s="34"/>
      <c r="O9" s="34"/>
      <c r="P9" s="34"/>
    </row>
    <row r="10" spans="1:16">
      <c r="A10" s="88" t="s">
        <v>22</v>
      </c>
      <c r="B10" s="91" t="s">
        <v>16</v>
      </c>
      <c r="C10" s="94">
        <v>17281.889849497875</v>
      </c>
      <c r="E10" s="47" t="s">
        <v>22</v>
      </c>
      <c r="F10" s="39" t="s">
        <v>16</v>
      </c>
      <c r="G10" s="37">
        <f>_xlfn.XLOOKUP(Table68[[#This Row],[Cultivo]],Table1[Cultivo],Table1[Área Nec. para Satisfacer 
 Consumo Local Total (ha)],"error",0,1)</f>
        <v>537.62292213473324</v>
      </c>
      <c r="H10" s="37">
        <f>_xlfn.XLOOKUP(Table68[[#This Row],[Cultivo]],Table8[Cultivo],Table8[Área Nec. para Satisfacer 
 Consumo Local Total (ha)],"error",0,1)</f>
        <v>716.83056284631095</v>
      </c>
      <c r="I10" s="37">
        <f>_xlfn.XLOOKUP(Table68[[#This Row],[Cultivo]],Table4[Cultivo],Table4[Área Nec. para Satisfacer 
 Consumo Local Total (ha)],"error",0,1)</f>
        <v>1075.2458442694665</v>
      </c>
      <c r="J10" s="48"/>
      <c r="L10" s="67" t="s">
        <v>23</v>
      </c>
      <c r="M10" s="68">
        <f>SUM(M3,M5,M6,M7,M8)</f>
        <v>15637.254332789713</v>
      </c>
      <c r="N10" s="68">
        <f t="shared" ref="N10:O10" si="0">SUM(N3,N5,N6,N7,N8)</f>
        <v>20849.672443719617</v>
      </c>
      <c r="O10" s="68">
        <f t="shared" si="0"/>
        <v>31274.508665579426</v>
      </c>
      <c r="P10" s="69"/>
    </row>
    <row r="11" spans="1:16" ht="15.75" thickBot="1">
      <c r="A11" s="88" t="s">
        <v>24</v>
      </c>
      <c r="B11" s="91" t="s">
        <v>16</v>
      </c>
      <c r="C11" s="95">
        <v>14977.637869564824</v>
      </c>
      <c r="E11" s="47" t="s">
        <v>24</v>
      </c>
      <c r="F11" s="39" t="s">
        <v>16</v>
      </c>
      <c r="G11" s="37">
        <f>_xlfn.XLOOKUP(Table68[[#This Row],[Cultivo]],Table1[Cultivo],Table1[Área Nec. para Satisfacer 
 Consumo Local Total (ha)],"error",0,1)</f>
        <v>523.56753482737736</v>
      </c>
      <c r="H11" s="37">
        <f>_xlfn.XLOOKUP(Table68[[#This Row],[Cultivo]],Table8[Cultivo],Table8[Área Nec. para Satisfacer 
 Consumo Local Total (ha)],"error",0,1)</f>
        <v>698.09004643650314</v>
      </c>
      <c r="I11" s="37">
        <f>_xlfn.XLOOKUP(Table68[[#This Row],[Cultivo]],Table4[Cultivo],Table4[Área Nec. para Satisfacer 
 Consumo Local Total (ha)],"error",0,1)</f>
        <v>1047.1350696547547</v>
      </c>
      <c r="J11" s="48"/>
      <c r="L11" s="70" t="s">
        <v>25</v>
      </c>
      <c r="M11" s="71">
        <f>SUM(M10,M4)</f>
        <v>92220.819254821516</v>
      </c>
      <c r="N11" s="71">
        <f t="shared" ref="N11:O11" si="1">SUM(N10,N4)</f>
        <v>122961.09233976202</v>
      </c>
      <c r="O11" s="71">
        <f t="shared" si="1"/>
        <v>184441.63850964303</v>
      </c>
      <c r="P11" s="72"/>
    </row>
    <row r="12" spans="1:16">
      <c r="A12" s="88" t="s">
        <v>26</v>
      </c>
      <c r="B12" s="91" t="s">
        <v>16</v>
      </c>
      <c r="C12" s="95">
        <v>18434.015839464399</v>
      </c>
      <c r="E12" s="47" t="s">
        <v>26</v>
      </c>
      <c r="F12" s="39" t="s">
        <v>16</v>
      </c>
      <c r="G12" s="37">
        <f>_xlfn.XLOOKUP(Table68[[#This Row],[Cultivo]],Table1[Cultivo],Table1[Área Nec. para Satisfacer 
 Consumo Local Total (ha)],"error",0,1)</f>
        <v>175.4724409448819</v>
      </c>
      <c r="H12" s="37">
        <f>_xlfn.XLOOKUP(Table68[[#This Row],[Cultivo]],Table8[Cultivo],Table8[Área Nec. para Satisfacer 
 Consumo Local Total (ha)],"error",0,1)</f>
        <v>233.96325459317583</v>
      </c>
      <c r="I12" s="37">
        <f>_xlfn.XLOOKUP(Table68[[#This Row],[Cultivo]],Table4[Cultivo],Table4[Área Nec. para Satisfacer 
 Consumo Local Total (ha)],"error",0,1)</f>
        <v>350.94488188976379</v>
      </c>
      <c r="J12" s="48"/>
    </row>
    <row r="13" spans="1:16">
      <c r="A13" s="88" t="s">
        <v>27</v>
      </c>
      <c r="B13" s="91" t="s">
        <v>18</v>
      </c>
      <c r="C13" s="95">
        <v>22714.163892190038</v>
      </c>
      <c r="E13" s="47" t="s">
        <v>27</v>
      </c>
      <c r="F13" s="38" t="s">
        <v>18</v>
      </c>
      <c r="G13" s="37">
        <f>_xlfn.XLOOKUP(Table68[[#This Row],[Cultivo]],Table1[Cultivo],Table1[Área Nec. para Satisfacer 
 Consumo Local Total (ha)],"error",0,1)</f>
        <v>136.77516153747331</v>
      </c>
      <c r="H13" s="37">
        <f>_xlfn.XLOOKUP(Table68[[#This Row],[Cultivo]],Table8[Cultivo],Table8[Área Nec. para Satisfacer 
 Consumo Local Total (ha)],"error",0,1)</f>
        <v>182.3668820499644</v>
      </c>
      <c r="I13" s="37">
        <f>_xlfn.XLOOKUP(Table68[[#This Row],[Cultivo]],Table4[Cultivo],Table4[Área Nec. para Satisfacer 
 Consumo Local Total (ha)],"error",0,1)</f>
        <v>273.55032307494662</v>
      </c>
      <c r="J13" s="48"/>
    </row>
    <row r="14" spans="1:16">
      <c r="A14" s="88" t="s">
        <v>28</v>
      </c>
      <c r="B14" s="91" t="s">
        <v>18</v>
      </c>
      <c r="C14" s="94">
        <v>31936.932441872075</v>
      </c>
      <c r="E14" s="47" t="s">
        <v>28</v>
      </c>
      <c r="F14" s="38" t="s">
        <v>18</v>
      </c>
      <c r="G14" s="37">
        <f>_xlfn.XLOOKUP(Table68[[#This Row],[Cultivo]],Table1[Cultivo],Table1[Área Nec. para Satisfacer 
 Consumo Local Total (ha)],"error",0,1)</f>
        <v>561.11451977593697</v>
      </c>
      <c r="H14" s="37">
        <f>_xlfn.XLOOKUP(Table68[[#This Row],[Cultivo]],Table8[Cultivo],Table8[Área Nec. para Satisfacer 
 Consumo Local Total (ha)],"error",0,1)</f>
        <v>748.15269303458274</v>
      </c>
      <c r="I14" s="37">
        <f>_xlfn.XLOOKUP(Table68[[#This Row],[Cultivo]],Table4[Cultivo],Table4[Área Nec. para Satisfacer 
 Consumo Local Total (ha)],"error",0,1)</f>
        <v>1122.2290395518739</v>
      </c>
      <c r="J14" s="46"/>
    </row>
    <row r="15" spans="1:16">
      <c r="A15" s="88" t="s">
        <v>29</v>
      </c>
      <c r="B15" s="91" t="s">
        <v>18</v>
      </c>
      <c r="C15" s="94">
        <v>34218.141902005787</v>
      </c>
      <c r="E15" s="47" t="s">
        <v>29</v>
      </c>
      <c r="F15" s="38" t="s">
        <v>18</v>
      </c>
      <c r="G15" s="37">
        <f>_xlfn.XLOOKUP(Table68[[#This Row],[Cultivo]],Table1[Cultivo],Table1[Área Nec. para Satisfacer 
 Consumo Local Total (ha)],"error",0,1)</f>
        <v>92.436614615092324</v>
      </c>
      <c r="H15" s="37">
        <f>_xlfn.XLOOKUP(Table68[[#This Row],[Cultivo]],Table8[Cultivo],Table8[Área Nec. para Satisfacer 
 Consumo Local Total (ha)],"error",0,1)</f>
        <v>123.24881948678977</v>
      </c>
      <c r="I15" s="37">
        <f>_xlfn.XLOOKUP(Table68[[#This Row],[Cultivo]],Table4[Cultivo],Table4[Área Nec. para Satisfacer 
 Consumo Local Total (ha)],"error",0,1)</f>
        <v>184.87322923018465</v>
      </c>
      <c r="J15" s="48"/>
    </row>
    <row r="16" spans="1:16">
      <c r="A16" s="88" t="s">
        <v>30</v>
      </c>
      <c r="B16" s="91" t="s">
        <v>18</v>
      </c>
      <c r="C16" s="94">
        <v>126370.93920947828</v>
      </c>
      <c r="E16" s="47" t="s">
        <v>30</v>
      </c>
      <c r="F16" s="38" t="s">
        <v>18</v>
      </c>
      <c r="G16" s="37">
        <f>_xlfn.XLOOKUP(Table68[[#This Row],[Cultivo]],Table1[Cultivo],Table1[Área Nec. para Satisfacer 
 Consumo Local Total (ha)],"error",0,1)</f>
        <v>65.540703113437345</v>
      </c>
      <c r="H16" s="37">
        <f>_xlfn.XLOOKUP(Table68[[#This Row],[Cultivo]],Table8[Cultivo],Table8[Área Nec. para Satisfacer 
 Consumo Local Total (ha)],"error",0,1)</f>
        <v>87.387604151249789</v>
      </c>
      <c r="I16" s="37">
        <f>_xlfn.XLOOKUP(Table68[[#This Row],[Cultivo]],Table4[Cultivo],Table4[Área Nec. para Satisfacer 
 Consumo Local Total (ha)],"error",0,1)</f>
        <v>131.08140622687469</v>
      </c>
      <c r="J16" s="48"/>
    </row>
    <row r="17" spans="1:10">
      <c r="A17" s="88" t="s">
        <v>31</v>
      </c>
      <c r="B17" s="91" t="s">
        <v>18</v>
      </c>
      <c r="C17" s="94">
        <v>34563.77969899575</v>
      </c>
      <c r="E17" s="49" t="s">
        <v>31</v>
      </c>
      <c r="F17" s="38" t="s">
        <v>18</v>
      </c>
      <c r="G17" s="40">
        <f>_xlfn.XLOOKUP(Table68[[#This Row],[Cultivo]],Table1[Cultivo],Table1[Área Nec. para Satisfacer 
 Consumo Local Total (ha)],"error",0,1)</f>
        <v>260.52055993000874</v>
      </c>
      <c r="H17" s="40">
        <f>_xlfn.XLOOKUP(Table68[[#This Row],[Cultivo]],Table8[Cultivo],Table8[Área Nec. para Satisfacer 
 Consumo Local Total (ha)],"error",0,1)</f>
        <v>347.36074657334501</v>
      </c>
      <c r="I17" s="40">
        <f>_xlfn.XLOOKUP(Table68[[#This Row],[Cultivo]],Table4[Cultivo],Table4[Área Nec. para Satisfacer 
 Consumo Local Total (ha)],"error",0,1)</f>
        <v>521.04111986001749</v>
      </c>
      <c r="J17" s="50"/>
    </row>
    <row r="18" spans="1:10">
      <c r="A18" s="88" t="s">
        <v>32</v>
      </c>
      <c r="B18" s="91" t="s">
        <v>18</v>
      </c>
      <c r="C18" s="95">
        <v>51899.819470022056</v>
      </c>
      <c r="E18" s="47" t="s">
        <v>32</v>
      </c>
      <c r="F18" s="38" t="s">
        <v>18</v>
      </c>
      <c r="G18" s="37">
        <f>_xlfn.XLOOKUP(Table68[[#This Row],[Cultivo]],Table1[Cultivo],Table1[Área Nec. para Satisfacer 
 Consumo Local Total (ha)],"error",0,1)</f>
        <v>196.87486507967444</v>
      </c>
      <c r="H18" s="37">
        <f>_xlfn.XLOOKUP(Table68[[#This Row],[Cultivo]],Table8[Cultivo],Table8[Área Nec. para Satisfacer 
 Consumo Local Total (ha)],"error",0,1)</f>
        <v>262.49982010623256</v>
      </c>
      <c r="I18" s="37">
        <f>_xlfn.XLOOKUP(Table68[[#This Row],[Cultivo]],Table4[Cultivo],Table4[Área Nec. para Satisfacer 
 Consumo Local Total (ha)],"error",0,1)</f>
        <v>393.74973015934887</v>
      </c>
      <c r="J18" s="48"/>
    </row>
    <row r="19" spans="1:10">
      <c r="A19" s="88" t="s">
        <v>33</v>
      </c>
      <c r="B19" s="91" t="s">
        <v>20</v>
      </c>
      <c r="C19" s="95">
        <v>40324.409648828376</v>
      </c>
      <c r="E19" s="47" t="s">
        <v>33</v>
      </c>
      <c r="F19" s="38" t="s">
        <v>20</v>
      </c>
      <c r="G19" s="37">
        <f>_xlfn.XLOOKUP(Table68[[#This Row],[Cultivo]],Table1[Cultivo],Table1[Área Nec. para Satisfacer 
 Consumo Local Total (ha)],"error",0,1)</f>
        <v>24.064866891638548</v>
      </c>
      <c r="H19" s="37">
        <f>_xlfn.XLOOKUP(Table68[[#This Row],[Cultivo]],Table8[Cultivo],Table8[Área Nec. para Satisfacer 
 Consumo Local Total (ha)],"error",0,1)</f>
        <v>32.086489188851395</v>
      </c>
      <c r="I19" s="37">
        <f>_xlfn.XLOOKUP(Table68[[#This Row],[Cultivo]],Table4[Cultivo],Table4[Área Nec. para Satisfacer 
 Consumo Local Total (ha)],"error",0,1)</f>
        <v>48.129733783277096</v>
      </c>
      <c r="J19" s="48"/>
    </row>
    <row r="20" spans="1:10">
      <c r="A20" s="88" t="s">
        <v>34</v>
      </c>
      <c r="B20" s="91" t="s">
        <v>20</v>
      </c>
      <c r="C20" s="95">
        <v>50714.281826346501</v>
      </c>
      <c r="E20" s="47" t="s">
        <v>34</v>
      </c>
      <c r="F20" s="38" t="s">
        <v>20</v>
      </c>
      <c r="G20" s="37">
        <f>_xlfn.XLOOKUP(Table68[[#This Row],[Cultivo]],Table1[Cultivo],Table1[Área Nec. para Satisfacer 
 Consumo Local Total (ha)],"error",0,1)</f>
        <v>18.214035322462333</v>
      </c>
      <c r="H20" s="37">
        <f>_xlfn.XLOOKUP(Table68[[#This Row],[Cultivo]],Table8[Cultivo],Table8[Área Nec. para Satisfacer 
 Consumo Local Total (ha)],"error",0,1)</f>
        <v>24.285380429949779</v>
      </c>
      <c r="I20" s="37">
        <f>_xlfn.XLOOKUP(Table68[[#This Row],[Cultivo]],Table4[Cultivo],Table4[Área Nec. para Satisfacer 
 Consumo Local Total (ha)],"error",0,1)</f>
        <v>36.428070644924667</v>
      </c>
      <c r="J20" s="48"/>
    </row>
    <row r="21" spans="1:10">
      <c r="A21" s="88" t="s">
        <v>35</v>
      </c>
      <c r="B21" s="91" t="s">
        <v>20</v>
      </c>
      <c r="C21" s="94">
        <v>36469.396086400389</v>
      </c>
      <c r="E21" s="49" t="s">
        <v>35</v>
      </c>
      <c r="F21" s="38" t="s">
        <v>20</v>
      </c>
      <c r="G21" s="37">
        <f>_xlfn.XLOOKUP(Table68[[#This Row],[Cultivo]],Table1[Cultivo],Table1[Área Nec. para Satisfacer 
 Consumo Local Total (ha)],"error",0,1)</f>
        <v>346.17328075034396</v>
      </c>
      <c r="H21" s="37">
        <f>_xlfn.XLOOKUP(Table68[[#This Row],[Cultivo]],Table8[Cultivo],Table8[Área Nec. para Satisfacer 
 Consumo Local Total (ha)],"error",0,1)</f>
        <v>461.56437433379193</v>
      </c>
      <c r="I21" s="37">
        <f>_xlfn.XLOOKUP(Table68[[#This Row],[Cultivo]],Table4[Cultivo],Table4[Área Nec. para Satisfacer 
 Consumo Local Total (ha)],"error",0,1)</f>
        <v>692.34656150068793</v>
      </c>
      <c r="J21" s="48"/>
    </row>
    <row r="22" spans="1:10">
      <c r="A22" s="88" t="s">
        <v>36</v>
      </c>
      <c r="B22" s="91" t="s">
        <v>20</v>
      </c>
      <c r="C22" s="95">
        <v>34880.614346236543</v>
      </c>
      <c r="E22" s="47" t="s">
        <v>36</v>
      </c>
      <c r="F22" s="38" t="s">
        <v>20</v>
      </c>
      <c r="G22" s="37">
        <f>_xlfn.XLOOKUP(Table68[[#This Row],[Cultivo]],Table1[Cultivo],Table1[Área Nec. para Satisfacer 
 Consumo Local Total (ha)],"error",0,1)</f>
        <v>480.93309145605355</v>
      </c>
      <c r="H22" s="37">
        <f>_xlfn.XLOOKUP(Table68[[#This Row],[Cultivo]],Table8[Cultivo],Table8[Área Nec. para Satisfacer 
 Consumo Local Total (ha)],"error",0,1)</f>
        <v>641.24412194140473</v>
      </c>
      <c r="I22" s="37">
        <f>_xlfn.XLOOKUP(Table68[[#This Row],[Cultivo]],Table4[Cultivo],Table4[Área Nec. para Satisfacer 
 Consumo Local Total (ha)],"error",0,1)</f>
        <v>961.86618291210709</v>
      </c>
      <c r="J22" s="48"/>
    </row>
    <row r="23" spans="1:10">
      <c r="A23" s="88" t="s">
        <v>37</v>
      </c>
      <c r="B23" s="91" t="s">
        <v>20</v>
      </c>
      <c r="C23" s="94">
        <v>24999.981856283626</v>
      </c>
      <c r="E23" s="49" t="s">
        <v>37</v>
      </c>
      <c r="F23" s="38" t="s">
        <v>20</v>
      </c>
      <c r="G23" s="40">
        <f>_xlfn.XLOOKUP(Table68[[#This Row],[Cultivo]],Table1[Cultivo],Table1[Área Nec. para Satisfacer 
 Consumo Local Total (ha)],"error",0,1)</f>
        <v>44.556161435164164</v>
      </c>
      <c r="H23" s="40">
        <f>_xlfn.XLOOKUP(Table68[[#This Row],[Cultivo]],Table8[Cultivo],Table8[Área Nec. para Satisfacer 
 Consumo Local Total (ha)],"error",0,1)</f>
        <v>59.408215246885554</v>
      </c>
      <c r="I23" s="40">
        <f>_xlfn.XLOOKUP(Table68[[#This Row],[Cultivo]],Table4[Cultivo],Table4[Área Nec. para Satisfacer 
 Consumo Local Total (ha)],"error",0,1)</f>
        <v>89.112322870328327</v>
      </c>
      <c r="J23" s="50"/>
    </row>
    <row r="24" spans="1:10">
      <c r="A24" s="88" t="s">
        <v>38</v>
      </c>
      <c r="B24" s="91" t="s">
        <v>20</v>
      </c>
      <c r="C24" s="94">
        <v>1959.7663089330592</v>
      </c>
      <c r="E24" s="47" t="s">
        <v>38</v>
      </c>
      <c r="F24" s="38" t="s">
        <v>20</v>
      </c>
      <c r="G24" s="37">
        <f>_xlfn.XLOOKUP(Table68[[#This Row],[Cultivo]],Table1[Cultivo],Table1[Área Nec. para Satisfacer 
 Consumo Local Total (ha)],"error",0,1)</f>
        <v>166.29865711230539</v>
      </c>
      <c r="H24" s="37">
        <f>_xlfn.XLOOKUP(Table68[[#This Row],[Cultivo]],Table8[Cultivo],Table8[Área Nec. para Satisfacer 
 Consumo Local Total (ha)],"error",0,1)</f>
        <v>221.73154281640717</v>
      </c>
      <c r="I24" s="37">
        <f>_xlfn.XLOOKUP(Table68[[#This Row],[Cultivo]],Table4[Cultivo],Table4[Área Nec. para Satisfacer 
 Consumo Local Total (ha)],"error",0,1)</f>
        <v>332.59731422461078</v>
      </c>
      <c r="J24" s="48"/>
    </row>
    <row r="25" spans="1:10">
      <c r="A25" s="88" t="s">
        <v>39</v>
      </c>
      <c r="B25" s="91" t="s">
        <v>20</v>
      </c>
      <c r="C25" s="95">
        <v>5760.6299498326243</v>
      </c>
      <c r="E25" s="47" t="s">
        <v>39</v>
      </c>
      <c r="F25" s="38" t="s">
        <v>20</v>
      </c>
      <c r="G25" s="37">
        <f>_xlfn.XLOOKUP(Table68[[#This Row],[Cultivo]],Table1[Cultivo],Table1[Área Nec. para Satisfacer 
 Consumo Local Total (ha)],"error",0,1)</f>
        <v>399.46456692913392</v>
      </c>
      <c r="H25" s="37">
        <f>_xlfn.XLOOKUP(Table68[[#This Row],[Cultivo]],Table8[Cultivo],Table8[Área Nec. para Satisfacer 
 Consumo Local Total (ha)],"error",0,1)</f>
        <v>532.61942257217856</v>
      </c>
      <c r="I25" s="37">
        <f>_xlfn.XLOOKUP(Table68[[#This Row],[Cultivo]],Table4[Cultivo],Table4[Área Nec. para Satisfacer 
 Consumo Local Total (ha)],"error",0,1)</f>
        <v>798.92913385826785</v>
      </c>
      <c r="J25" s="48"/>
    </row>
    <row r="26" spans="1:10">
      <c r="A26" s="88" t="s">
        <v>40</v>
      </c>
      <c r="B26" s="91" t="s">
        <v>20</v>
      </c>
      <c r="C26" s="94">
        <v>51671.69852400868</v>
      </c>
      <c r="E26" s="47" t="s">
        <v>40</v>
      </c>
      <c r="F26" s="38" t="s">
        <v>20</v>
      </c>
      <c r="G26" s="37">
        <f>_xlfn.XLOOKUP(Table68[[#This Row],[Cultivo]],Table1[Cultivo],Table1[Área Nec. para Satisfacer 
 Consumo Local Total (ha)],"error",0,1)</f>
        <v>28.748845133237698</v>
      </c>
      <c r="H26" s="37">
        <f>_xlfn.XLOOKUP(Table68[[#This Row],[Cultivo]],Table8[Cultivo],Table8[Área Nec. para Satisfacer 
 Consumo Local Total (ha)],"error",0,1)</f>
        <v>38.331793510983594</v>
      </c>
      <c r="I26" s="37">
        <f>_xlfn.XLOOKUP(Table68[[#This Row],[Cultivo]],Table4[Cultivo],Table4[Área Nec. para Satisfacer 
 Consumo Local Total (ha)],"error",0,1)</f>
        <v>57.497690266475395</v>
      </c>
      <c r="J26" s="48"/>
    </row>
    <row r="27" spans="1:10">
      <c r="A27" s="88" t="s">
        <v>41</v>
      </c>
      <c r="B27" s="91" t="s">
        <v>20</v>
      </c>
      <c r="C27" s="94">
        <v>39300.16964374813</v>
      </c>
      <c r="E27" s="47" t="s">
        <v>41</v>
      </c>
      <c r="F27" s="38" t="s">
        <v>20</v>
      </c>
      <c r="G27" s="37">
        <f>_xlfn.XLOOKUP(Table68[[#This Row],[Cultivo]],Table1[Cultivo],Table1[Área Nec. para Satisfacer 
 Consumo Local Total (ha)],"error",0,1)</f>
        <v>173.06437659790785</v>
      </c>
      <c r="H27" s="37">
        <f>_xlfn.XLOOKUP(Table68[[#This Row],[Cultivo]],Table8[Cultivo],Table8[Área Nec. para Satisfacer 
 Consumo Local Total (ha)],"error",0,1)</f>
        <v>230.7525021305438</v>
      </c>
      <c r="I27" s="37">
        <f>_xlfn.XLOOKUP(Table68[[#This Row],[Cultivo]],Table4[Cultivo],Table4[Área Nec. para Satisfacer 
 Consumo Local Total (ha)],"error",0,1)</f>
        <v>346.1287531958157</v>
      </c>
      <c r="J27" s="48"/>
    </row>
    <row r="28" spans="1:10">
      <c r="A28" s="88" t="s">
        <v>42</v>
      </c>
      <c r="B28" s="91" t="s">
        <v>20</v>
      </c>
      <c r="C28" s="95">
        <v>42167.811232774817</v>
      </c>
      <c r="E28" s="47" t="s">
        <v>42</v>
      </c>
      <c r="F28" s="38" t="s">
        <v>20</v>
      </c>
      <c r="G28" s="37">
        <f>_xlfn.XLOOKUP(Table68[[#This Row],[Cultivo]],Table1[Cultivo],Table1[Área Nec. para Satisfacer 
 Consumo Local Total (ha)],"error",0,1)</f>
        <v>71.682586807796554</v>
      </c>
      <c r="H28" s="37">
        <f>_xlfn.XLOOKUP(Table68[[#This Row],[Cultivo]],Table8[Cultivo],Table8[Área Nec. para Satisfacer 
 Consumo Local Total (ha)],"error",0,1)</f>
        <v>95.57678241039541</v>
      </c>
      <c r="I28" s="37">
        <f>_xlfn.XLOOKUP(Table68[[#This Row],[Cultivo]],Table4[Cultivo],Table4[Área Nec. para Satisfacer 
 Consumo Local Total (ha)],"error",0,1)</f>
        <v>143.36517361559311</v>
      </c>
      <c r="J28" s="48"/>
    </row>
    <row r="29" spans="1:10" ht="15.75" thickBot="1">
      <c r="A29" s="89" t="s">
        <v>43</v>
      </c>
      <c r="B29" s="92" t="s">
        <v>20</v>
      </c>
      <c r="C29" s="96">
        <v>84466.964828405806</v>
      </c>
      <c r="E29" s="51" t="s">
        <v>43</v>
      </c>
      <c r="F29" s="52" t="s">
        <v>20</v>
      </c>
      <c r="G29" s="53">
        <f>_xlfn.XLOOKUP(Table68[[#This Row],[Cultivo]],Table1[Cultivo],Table1[Área Nec. para Satisfacer 
 Consumo Local Total (ha)],"error",0,1)</f>
        <v>329.24249105902442</v>
      </c>
      <c r="H29" s="53">
        <f>_xlfn.XLOOKUP(Table68[[#This Row],[Cultivo]],Table8[Cultivo],Table8[Área Nec. para Satisfacer 
 Consumo Local Total (ha)],"error",0,1)</f>
        <v>438.98998807869924</v>
      </c>
      <c r="I29" s="53">
        <f>_xlfn.XLOOKUP(Table68[[#This Row],[Cultivo]],Table4[Cultivo],Table4[Área Nec. para Satisfacer 
 Consumo Local Total (ha)],"error",0,1)</f>
        <v>658.48498211804883</v>
      </c>
      <c r="J29" s="54"/>
    </row>
    <row r="30" spans="1:10" ht="15.75" thickBot="1">
      <c r="E30" s="34"/>
      <c r="F30" s="34"/>
      <c r="G30" s="34"/>
      <c r="H30" s="34"/>
      <c r="I30" s="34"/>
      <c r="J30" s="34"/>
    </row>
    <row r="31" spans="1:10">
      <c r="E31" s="55" t="s">
        <v>44</v>
      </c>
      <c r="F31" s="56"/>
      <c r="G31" s="57">
        <v>82192.44</v>
      </c>
      <c r="H31" s="57">
        <v>109589.91</v>
      </c>
      <c r="I31" s="57">
        <v>164384.87</v>
      </c>
      <c r="J31" s="58">
        <v>94075.3</v>
      </c>
    </row>
    <row r="32" spans="1:10" ht="15.75" thickBot="1">
      <c r="E32" s="59"/>
      <c r="F32" s="60"/>
      <c r="G32" s="53"/>
      <c r="H32" s="53"/>
      <c r="I32" s="53"/>
      <c r="J32" s="61"/>
    </row>
  </sheetData>
  <sheetProtection algorithmName="SHA-512" hashValue="WSpHKepfJYHxgqTngFLnxApbZBNQgONADKRP9FoRin/HZfGZ5JEF0Si7lq7zDLs6oGWO5Zs0WlBOgENiGoPzBg==" saltValue="NMirZjmqWauw+xMRYGrhew==" spinCount="100000" sheet="1" selectLockedCells="1" sort="0"/>
  <protectedRanges>
    <protectedRange algorithmName="SHA-512" hashValue="Cj7pjcb9LO/Zld4T3f/SS44FT1XEKxInKzVgM2bUxWCdofQPawVUNVNHCSSQCF5CF5YApG1jrfGCuY4admfXPw==" saltValue="BnVnwI3xx47qC98Y12Xe/Q==" spinCount="100000" sqref="C3:C29" name="Range1_2"/>
  </protectedRanges>
  <mergeCells count="2">
    <mergeCell ref="E1:J1"/>
    <mergeCell ref="L1:P1"/>
  </mergeCells>
  <conditionalFormatting sqref="C3:C29">
    <cfRule type="containsBlanks" dxfId="108" priority="1">
      <formula>LEN(TRIM(C3))=0</formula>
    </cfRule>
  </conditionalFormatting>
  <dataValidations count="1">
    <dataValidation allowBlank="1" showInputMessage="1" showErrorMessage="1" promptTitle="Rendimiento potencial" prompt="Entre rendimiento potencial" sqref="C3:C29" xr:uid="{79FFB6A5-C5F7-4EF7-8BE7-F0113B3EE535}"/>
  </dataValidations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BBF2-FC36-4DE0-B5FC-BFF64DC00765}">
  <sheetPr codeName="Sheet1"/>
  <dimension ref="A1:M31"/>
  <sheetViews>
    <sheetView zoomScale="85" zoomScaleNormal="85" workbookViewId="0">
      <selection activeCell="H19" sqref="H19"/>
    </sheetView>
  </sheetViews>
  <sheetFormatPr defaultRowHeight="15"/>
  <cols>
    <col min="1" max="1" width="21" bestFit="1" customWidth="1"/>
    <col min="2" max="2" width="24.28515625" customWidth="1"/>
    <col min="3" max="3" width="23.5703125" style="74" hidden="1" customWidth="1"/>
    <col min="4" max="4" width="20" style="74" hidden="1" customWidth="1"/>
    <col min="5" max="5" width="18.7109375" style="74" hidden="1" customWidth="1"/>
    <col min="6" max="6" width="23.7109375" style="74" hidden="1" customWidth="1"/>
    <col min="7" max="7" width="30" style="74" hidden="1" customWidth="1"/>
    <col min="8" max="8" width="18.5703125" customWidth="1"/>
    <col min="9" max="9" width="23.5703125" style="19" customWidth="1"/>
    <col min="10" max="10" width="20.7109375" customWidth="1"/>
    <col min="11" max="11" width="20.85546875" customWidth="1"/>
    <col min="12" max="12" width="17.28515625" customWidth="1"/>
    <col min="13" max="13" width="13.5703125" customWidth="1"/>
  </cols>
  <sheetData>
    <row r="1" spans="1:13" ht="60" customHeight="1">
      <c r="A1" s="1" t="s">
        <v>1</v>
      </c>
      <c r="B1" s="1" t="s">
        <v>2</v>
      </c>
      <c r="C1" s="73" t="s">
        <v>45</v>
      </c>
      <c r="D1" s="73" t="s">
        <v>46</v>
      </c>
      <c r="E1" s="73" t="s">
        <v>47</v>
      </c>
      <c r="F1" s="73" t="s">
        <v>48</v>
      </c>
      <c r="G1" s="73" t="s">
        <v>49</v>
      </c>
      <c r="H1" s="1" t="s">
        <v>50</v>
      </c>
      <c r="I1" s="4" t="s">
        <v>51</v>
      </c>
      <c r="J1" s="1" t="s">
        <v>52</v>
      </c>
      <c r="K1" s="1" t="s">
        <v>53</v>
      </c>
      <c r="L1" s="1" t="s">
        <v>54</v>
      </c>
      <c r="M1" s="1" t="s">
        <v>55</v>
      </c>
    </row>
    <row r="2" spans="1:13">
      <c r="A2" s="31" t="s">
        <v>10</v>
      </c>
      <c r="B2" s="31" t="s">
        <v>10</v>
      </c>
      <c r="C2" s="77">
        <v>2686.4191258962242</v>
      </c>
      <c r="D2" s="77">
        <v>11655.931634476692</v>
      </c>
      <c r="E2" s="77">
        <v>338.15351398426941</v>
      </c>
      <c r="F2" s="77">
        <v>11317.778120492421</v>
      </c>
      <c r="G2" s="77">
        <v>14004.197246388645</v>
      </c>
      <c r="H2" s="32">
        <f>_xlfn.XLOOKUP(Table1[[#This Row],[Cultivo]],Table5[Cultivo],Table5[Rendimiento Potencial  (kg/ha)],"error",0,1)</f>
        <v>1382.55118795983</v>
      </c>
      <c r="I2" s="25">
        <f>Table1[[#This Row],[Disponible Para Consumo (Toneladas)]]*1000/Table1[[#This Row],[RR100  (kg/ha)]]</f>
        <v>10129.243219597549</v>
      </c>
      <c r="J2" s="25">
        <f>Table1[[#This Row],[Producción Local (Toneladas)]]*1000/Table1[[#This Row],[RR100  (kg/ha)]]</f>
        <v>1943.0883639545057</v>
      </c>
      <c r="K2" s="25">
        <f>Table1[[#This Row],[Área Nec. para Satisfacer 
 Consumo Local Total (ha)]]-Table1[[#This Row],[Area local en produccion estimada (ha)]]</f>
        <v>8186.1548556430434</v>
      </c>
      <c r="L2" s="25">
        <f>Table1[[#This Row],[Area local en produccion estimada (ha)]]/Table1[[#This Row],[Área Nec. para Satisfacer 
 Consumo Local Total (ha)]]*100</f>
        <v>19.182956928066613</v>
      </c>
      <c r="M2" s="25">
        <f>Table1[[#This Row],[Area adicional necesaria estimada (ha)]]/Table1[[#This Row],[Área Nec. para Satisfacer 
 Consumo Local Total (ha)]]*100</f>
        <v>80.817043071933398</v>
      </c>
    </row>
    <row r="3" spans="1:13">
      <c r="A3" s="31" t="s">
        <v>11</v>
      </c>
      <c r="B3" s="31" t="s">
        <v>12</v>
      </c>
      <c r="C3" s="78">
        <v>6260.0357431212642</v>
      </c>
      <c r="D3" s="78">
        <v>53893.429857904463</v>
      </c>
      <c r="E3" s="78">
        <v>154.40302637189177</v>
      </c>
      <c r="F3" s="78">
        <v>53739.026831532574</v>
      </c>
      <c r="G3" s="78">
        <v>59999.062574653835</v>
      </c>
      <c r="H3" s="32">
        <f>_xlfn.XLOOKUP(Table1[[#This Row],[Cultivo]],Table5[Cultivo],Table5[Rendimiento Potencial  (kg/ha)],"error",0,1)</f>
        <v>783.44567317723693</v>
      </c>
      <c r="I3" s="25">
        <f>Table1[[#This Row],[Disponible Para Consumo (Toneladas)]]*1000/Table1[[#This Row],[RR100  (kg/ha)]]</f>
        <v>76583.564922031801</v>
      </c>
      <c r="J3" s="20">
        <f>Table1[[#This Row],[Producción Local (Toneladas)]]*1000/Table1[[#This Row],[RR100  (kg/ha)]]</f>
        <v>7990.3890690134331</v>
      </c>
      <c r="K3" s="20">
        <f>Table1[[#This Row],[Área Nec. para Satisfacer 
 Consumo Local Total (ha)]]-Table1[[#This Row],[Area local en produccion estimada (ha)]]</f>
        <v>68593.175853018372</v>
      </c>
      <c r="L3" s="20">
        <f>Table1[[#This Row],[Area local en produccion estimada (ha)]]/Table1[[#This Row],[Área Nec. para Satisfacer 
 Consumo Local Total (ha)]]*100</f>
        <v>10.433555916531555</v>
      </c>
      <c r="M3" s="20">
        <f>Table1[[#This Row],[Area adicional necesaria estimada (ha)]]/Table1[[#This Row],[Área Nec. para Satisfacer 
 Consumo Local Total (ha)]]*100</f>
        <v>89.566444083468454</v>
      </c>
    </row>
    <row r="4" spans="1:13">
      <c r="A4" s="31" t="s">
        <v>13</v>
      </c>
      <c r="B4" s="31" t="s">
        <v>14</v>
      </c>
      <c r="C4" s="77">
        <v>1061.4678871339884</v>
      </c>
      <c r="D4" s="77">
        <v>30.315126113948594</v>
      </c>
      <c r="E4" s="77">
        <v>0</v>
      </c>
      <c r="F4" s="77">
        <v>30.315126113948594</v>
      </c>
      <c r="G4" s="77">
        <v>1091.7830132479369</v>
      </c>
      <c r="H4" s="32">
        <f>_xlfn.XLOOKUP(Table1[[#This Row],[Cultivo]],Table5[Cultivo],Table5[Rendimiento Potencial  (kg/ha)],"error",0,1)</f>
        <v>30258.851979025869</v>
      </c>
      <c r="I4" s="25">
        <f>Table1[[#This Row],[Disponible Para Consumo (Toneladas)]]*1000/Table1[[#This Row],[RR100  (kg/ha)]]</f>
        <v>36.081442019172236</v>
      </c>
      <c r="J4" s="25">
        <f>Table1[[#This Row],[Producción Local (Toneladas)]]*1000/Table1[[#This Row],[RR100  (kg/ha)]]</f>
        <v>35.07958226140741</v>
      </c>
      <c r="K4" s="25">
        <f>Table1[[#This Row],[Área Nec. para Satisfacer 
 Consumo Local Total (ha)]]-Table1[[#This Row],[Area local en produccion estimada (ha)]]</f>
        <v>1.0018597577648265</v>
      </c>
      <c r="L4" s="25">
        <f>Table1[[#This Row],[Area local en produccion estimada (ha)]]/Table1[[#This Row],[Área Nec. para Satisfacer 
 Consumo Local Total (ha)]]*100</f>
        <v>97.223337811076178</v>
      </c>
      <c r="M4" s="25">
        <f>Table1[[#This Row],[Area adicional necesaria estimada (ha)]]/Table1[[#This Row],[Área Nec. para Satisfacer 
 Consumo Local Total (ha)]]*100</f>
        <v>2.7766621889238192</v>
      </c>
    </row>
    <row r="5" spans="1:13">
      <c r="A5" s="31" t="s">
        <v>15</v>
      </c>
      <c r="B5" s="31" t="s">
        <v>14</v>
      </c>
      <c r="C5" s="77">
        <v>651.90372944090143</v>
      </c>
      <c r="D5" s="77">
        <v>0</v>
      </c>
      <c r="E5" s="77">
        <v>0</v>
      </c>
      <c r="F5" s="77">
        <v>0</v>
      </c>
      <c r="G5" s="77">
        <v>651.90372944090143</v>
      </c>
      <c r="H5" s="32">
        <f>_xlfn.XLOOKUP(Table1[[#This Row],[Cultivo]],Table5[Cultivo],Table5[Rendimiento Potencial  (kg/ha)],"error",0,1)</f>
        <v>18309.10769202856</v>
      </c>
      <c r="I5" s="25">
        <f>Table1[[#This Row],[Disponible Para Consumo (Toneladas)]]*1000/Table1[[#This Row],[RR100  (kg/ha)]]</f>
        <v>35.605434213745326</v>
      </c>
      <c r="J5" s="25">
        <f>Table1[[#This Row],[Producción Local (Toneladas)]]*1000/Table1[[#This Row],[RR100  (kg/ha)]]</f>
        <v>35.605434213745326</v>
      </c>
      <c r="K5" s="25">
        <f>Table1[[#This Row],[Área Nec. para Satisfacer 
 Consumo Local Total (ha)]]-Table1[[#This Row],[Area local en produccion estimada (ha)]]</f>
        <v>0</v>
      </c>
      <c r="L5" s="25">
        <f>Table1[[#This Row],[Area local en produccion estimada (ha)]]/Table1[[#This Row],[Área Nec. para Satisfacer 
 Consumo Local Total (ha)]]*100</f>
        <v>100</v>
      </c>
      <c r="M5" s="25">
        <f>Table1[[#This Row],[Area adicional necesaria estimada (ha)]]/Table1[[#This Row],[Área Nec. para Satisfacer 
 Consumo Local Total (ha)]]*100</f>
        <v>0</v>
      </c>
    </row>
    <row r="6" spans="1:13">
      <c r="A6" s="31" t="s">
        <v>17</v>
      </c>
      <c r="B6" s="31" t="s">
        <v>16</v>
      </c>
      <c r="C6" s="78">
        <v>317.45455755035641</v>
      </c>
      <c r="D6" s="78">
        <v>195.16590916650796</v>
      </c>
      <c r="E6" s="78">
        <v>0</v>
      </c>
      <c r="F6" s="78">
        <v>195.16590916650796</v>
      </c>
      <c r="G6" s="78">
        <v>512.62046671686437</v>
      </c>
      <c r="H6" s="33">
        <f>_xlfn.XLOOKUP(Table1[[#This Row],[Cultivo]],Table5[Cultivo],Table5[Rendimiento Potencial  (kg/ha)],"error",0,1)</f>
        <v>12097.322894648512</v>
      </c>
      <c r="I6" s="25">
        <f>Table1[[#This Row],[Disponible Para Consumo (Toneladas)]]*1000/Table1[[#This Row],[RR100  (kg/ha)]]</f>
        <v>42.374703162104737</v>
      </c>
      <c r="J6" s="20">
        <f>Table1[[#This Row],[Producción Local (Toneladas)]]*1000/Table1[[#This Row],[RR100  (kg/ha)]]</f>
        <v>26.241719785026874</v>
      </c>
      <c r="K6" s="20">
        <f>Table1[[#This Row],[Área Nec. para Satisfacer 
 Consumo Local Total (ha)]]-Table1[[#This Row],[Area local en produccion estimada (ha)]]</f>
        <v>16.132983377077863</v>
      </c>
      <c r="L6" s="20">
        <f>Table1[[#This Row],[Area local en produccion estimada (ha)]]/Table1[[#This Row],[Área Nec. para Satisfacer 
 Consumo Local Total (ha)]]*100</f>
        <v>61.927796130250123</v>
      </c>
      <c r="M6" s="20">
        <f>Table1[[#This Row],[Area adicional necesaria estimada (ha)]]/Table1[[#This Row],[Área Nec. para Satisfacer 
 Consumo Local Total (ha)]]*100</f>
        <v>38.072203869749877</v>
      </c>
    </row>
    <row r="7" spans="1:13">
      <c r="A7" s="31" t="s">
        <v>19</v>
      </c>
      <c r="B7" s="31" t="s">
        <v>16</v>
      </c>
      <c r="C7" s="78">
        <v>551.44801976455517</v>
      </c>
      <c r="D7" s="78">
        <v>7108.224244238615</v>
      </c>
      <c r="E7" s="78">
        <v>0</v>
      </c>
      <c r="F7" s="78">
        <v>7108.224244238615</v>
      </c>
      <c r="G7" s="78">
        <v>7659.6722640031703</v>
      </c>
      <c r="H7" s="33">
        <f>_xlfn.XLOOKUP(Table1[[#This Row],[Cultivo]],Table5[Cultivo],Table5[Rendimiento Potencial  (kg/ha)],"error",0,1)</f>
        <v>20162.204824414188</v>
      </c>
      <c r="I7" s="25">
        <f>Table1[[#This Row],[Disponible Para Consumo (Toneladas)]]*1000/Table1[[#This Row],[RR100  (kg/ha)]]</f>
        <v>379.90251218597678</v>
      </c>
      <c r="J7" s="20">
        <f>Table1[[#This Row],[Producción Local (Toneladas)]]*1000/Table1[[#This Row],[RR100  (kg/ha)]]</f>
        <v>27.350581177352833</v>
      </c>
      <c r="K7" s="20">
        <f>Table1[[#This Row],[Área Nec. para Satisfacer 
 Consumo Local Total (ha)]]-Table1[[#This Row],[Area local en produccion estimada (ha)]]</f>
        <v>352.55193100862397</v>
      </c>
      <c r="L7" s="20">
        <f>Table1[[#This Row],[Area local en produccion estimada (ha)]]/Table1[[#This Row],[Área Nec. para Satisfacer 
 Consumo Local Total (ha)]]*100</f>
        <v>7.1993683379392017</v>
      </c>
      <c r="M7" s="20">
        <f>Table1[[#This Row],[Area adicional necesaria estimada (ha)]]/Table1[[#This Row],[Área Nec. para Satisfacer 
 Consumo Local Total (ha)]]*100</f>
        <v>92.800631662060809</v>
      </c>
    </row>
    <row r="8" spans="1:13">
      <c r="A8" s="31" t="s">
        <v>21</v>
      </c>
      <c r="B8" s="31" t="s">
        <v>16</v>
      </c>
      <c r="C8" s="77">
        <v>104.38684822478857</v>
      </c>
      <c r="D8" s="77">
        <v>5392.3881061891252</v>
      </c>
      <c r="E8" s="77">
        <v>0</v>
      </c>
      <c r="F8" s="77">
        <v>5392.3881061891252</v>
      </c>
      <c r="G8" s="77">
        <v>5496.7749544139133</v>
      </c>
      <c r="H8" s="32">
        <f>_xlfn.XLOOKUP(Table1[[#This Row],[Cultivo]],Table5[Cultivo],Table5[Rendimiento Potencial  (kg/ha)],"error",0,1)</f>
        <v>14401.574874581562</v>
      </c>
      <c r="I8" s="25">
        <f>Table1[[#This Row],[Disponible Para Consumo (Toneladas)]]*1000/Table1[[#This Row],[RR100  (kg/ha)]]</f>
        <v>381.67874015748032</v>
      </c>
      <c r="J8" s="25">
        <f>Table1[[#This Row],[Producción Local (Toneladas)]]*1000/Table1[[#This Row],[RR100  (kg/ha)]]</f>
        <v>7.2482939632545937</v>
      </c>
      <c r="K8" s="25">
        <f>Table1[[#This Row],[Área Nec. para Satisfacer 
 Consumo Local Total (ha)]]-Table1[[#This Row],[Area local en produccion estimada (ha)]]</f>
        <v>374.43044619422574</v>
      </c>
      <c r="L8" s="25">
        <f>Table1[[#This Row],[Area local en produccion estimada (ha)]]/Table1[[#This Row],[Área Nec. para Satisfacer 
 Consumo Local Total (ha)]]*100</f>
        <v>1.8990562482636455</v>
      </c>
      <c r="M8" s="25">
        <f>Table1[[#This Row],[Area adicional necesaria estimada (ha)]]/Table1[[#This Row],[Área Nec. para Satisfacer 
 Consumo Local Total (ha)]]*100</f>
        <v>98.100943751736352</v>
      </c>
    </row>
    <row r="9" spans="1:13">
      <c r="A9" s="31" t="s">
        <v>22</v>
      </c>
      <c r="B9" s="31" t="s">
        <v>16</v>
      </c>
      <c r="C9" s="77">
        <v>1718.3609873810456</v>
      </c>
      <c r="D9" s="77">
        <v>7572.7789823189487</v>
      </c>
      <c r="E9" s="77">
        <v>0</v>
      </c>
      <c r="F9" s="77">
        <v>7572.7789823189487</v>
      </c>
      <c r="G9" s="77">
        <v>9291.1401208976313</v>
      </c>
      <c r="H9" s="32">
        <f>_xlfn.XLOOKUP(Table1[[#This Row],[Cultivo]],Table5[Cultivo],Table5[Rendimiento Potencial  (kg/ha)],"error",0,1)</f>
        <v>17281.889849497875</v>
      </c>
      <c r="I9" s="25">
        <f>Table1[[#This Row],[Disponible Para Consumo (Toneladas)]]*1000/Table1[[#This Row],[RR100  (kg/ha)]]</f>
        <v>537.62292213473324</v>
      </c>
      <c r="J9" s="25">
        <f>Table1[[#This Row],[Producción Local (Toneladas)]]*1000/Table1[[#This Row],[RR100  (kg/ha)]]</f>
        <v>99.431312335958012</v>
      </c>
      <c r="K9" s="25">
        <f>Table1[[#This Row],[Área Nec. para Satisfacer 
 Consumo Local Total (ha)]]-Table1[[#This Row],[Area local en produccion estimada (ha)]]</f>
        <v>438.19160979877523</v>
      </c>
      <c r="L9" s="25">
        <f>Table1[[#This Row],[Area local en produccion estimada (ha)]]/Table1[[#This Row],[Área Nec. para Satisfacer 
 Consumo Local Total (ha)]]*100</f>
        <v>18.494619228872764</v>
      </c>
      <c r="M9" s="25">
        <f>Table1[[#This Row],[Area adicional necesaria estimada (ha)]]/Table1[[#This Row],[Área Nec. para Satisfacer 
 Consumo Local Total (ha)]]*100</f>
        <v>81.505380771127236</v>
      </c>
    </row>
    <row r="10" spans="1:13">
      <c r="A10" s="31" t="s">
        <v>24</v>
      </c>
      <c r="B10" s="31" t="s">
        <v>16</v>
      </c>
      <c r="C10" s="78">
        <v>758.6643805584032</v>
      </c>
      <c r="D10" s="78">
        <v>7083.1405563468243</v>
      </c>
      <c r="E10" s="78">
        <v>0</v>
      </c>
      <c r="F10" s="78">
        <v>7083.1405563468243</v>
      </c>
      <c r="G10" s="78">
        <v>7841.8049369052269</v>
      </c>
      <c r="H10" s="33">
        <f>_xlfn.XLOOKUP(Table1[[#This Row],[Cultivo]],Table5[Cultivo],Table5[Rendimiento Potencial  (kg/ha)],"error",0,1)</f>
        <v>14977.637869564824</v>
      </c>
      <c r="I10" s="25">
        <f>Table1[[#This Row],[Disponible Para Consumo (Toneladas)]]*1000/Table1[[#This Row],[RR100  (kg/ha)]]</f>
        <v>523.56753482737736</v>
      </c>
      <c r="J10" s="20">
        <f>Table1[[#This Row],[Producción Local (Toneladas)]]*1000/Table1[[#This Row],[RR100  (kg/ha)]]</f>
        <v>50.653139511407232</v>
      </c>
      <c r="K10" s="20">
        <f>Table1[[#This Row],[Área Nec. para Satisfacer 
 Consumo Local Total (ha)]]-Table1[[#This Row],[Area local en produccion estimada (ha)]]</f>
        <v>472.91439531597013</v>
      </c>
      <c r="L10" s="20">
        <f>Table1[[#This Row],[Area local en produccion estimada (ha)]]/Table1[[#This Row],[Área Nec. para Satisfacer 
 Consumo Local Total (ha)]]*100</f>
        <v>9.6746142841167195</v>
      </c>
      <c r="M10" s="20">
        <f>Table1[[#This Row],[Area adicional necesaria estimada (ha)]]/Table1[[#This Row],[Área Nec. para Satisfacer 
 Consumo Local Total (ha)]]*100</f>
        <v>90.325385715883272</v>
      </c>
    </row>
    <row r="11" spans="1:13">
      <c r="A11" s="31" t="s">
        <v>26</v>
      </c>
      <c r="B11" s="31" t="s">
        <v>16</v>
      </c>
      <c r="C11" s="78">
        <v>542.52735921232079</v>
      </c>
      <c r="D11" s="78">
        <v>2692.1343965551137</v>
      </c>
      <c r="E11" s="78">
        <v>0</v>
      </c>
      <c r="F11" s="78">
        <v>2692.1343965551137</v>
      </c>
      <c r="G11" s="78">
        <v>3234.661755767434</v>
      </c>
      <c r="H11" s="33">
        <f>_xlfn.XLOOKUP(Table1[[#This Row],[Cultivo]],Table5[Cultivo],Table5[Rendimiento Potencial  (kg/ha)],"error",0,1)</f>
        <v>18434.015839464399</v>
      </c>
      <c r="I11" s="25">
        <f>Table1[[#This Row],[Disponible Para Consumo (Toneladas)]]*1000/Table1[[#This Row],[RR100  (kg/ha)]]</f>
        <v>175.4724409448819</v>
      </c>
      <c r="J11" s="20">
        <f>Table1[[#This Row],[Producción Local (Toneladas)]]*1000/Table1[[#This Row],[RR100  (kg/ha)]]</f>
        <v>29.430774278215221</v>
      </c>
      <c r="K11" s="20">
        <f>Table1[[#This Row],[Área Nec. para Satisfacer 
 Consumo Local Total (ha)]]-Table1[[#This Row],[Area local en produccion estimada (ha)]]</f>
        <v>146.04166666666669</v>
      </c>
      <c r="L11" s="20">
        <f>Table1[[#This Row],[Area local en produccion estimada (ha)]]/Table1[[#This Row],[Área Nec. para Satisfacer 
 Consumo Local Total (ha)]]*100</f>
        <v>16.772305736294964</v>
      </c>
      <c r="M11" s="20">
        <f>Table1[[#This Row],[Area adicional necesaria estimada (ha)]]/Table1[[#This Row],[Área Nec. para Satisfacer 
 Consumo Local Total (ha)]]*100</f>
        <v>83.227694263705047</v>
      </c>
    </row>
    <row r="12" spans="1:13">
      <c r="A12" s="31" t="s">
        <v>27</v>
      </c>
      <c r="B12" s="31" t="s">
        <v>18</v>
      </c>
      <c r="C12" s="78">
        <v>361.89154291140102</v>
      </c>
      <c r="D12" s="78">
        <v>2748.848629998216</v>
      </c>
      <c r="E12" s="78">
        <v>4.0067373666814836</v>
      </c>
      <c r="F12" s="78">
        <v>2744.841892631533</v>
      </c>
      <c r="G12" s="78">
        <v>3106.7334355429361</v>
      </c>
      <c r="H12" s="33">
        <f>_xlfn.XLOOKUP(Table1[[#This Row],[Cultivo]],Table5[Cultivo],Table5[Rendimiento Potencial  (kg/ha)],"error",0,1)</f>
        <v>22714.163892190038</v>
      </c>
      <c r="I12" s="25">
        <f>Table1[[#This Row],[Disponible Para Consumo (Toneladas)]]*1000/Table1[[#This Row],[RR100  (kg/ha)]]</f>
        <v>136.77516153747331</v>
      </c>
      <c r="J12" s="20">
        <f>Table1[[#This Row],[Producción Local (Toneladas)]]*1000/Table1[[#This Row],[RR100  (kg/ha)]]</f>
        <v>15.932417527190275</v>
      </c>
      <c r="K12" s="20">
        <f>Table1[[#This Row],[Área Nec. para Satisfacer 
 Consumo Local Total (ha)]]-Table1[[#This Row],[Area local en produccion estimada (ha)]]</f>
        <v>120.84274401028304</v>
      </c>
      <c r="L12" s="20">
        <f>Table1[[#This Row],[Area local en produccion estimada (ha)]]/Table1[[#This Row],[Área Nec. para Satisfacer 
 Consumo Local Total (ha)]]*100</f>
        <v>11.648619053412817</v>
      </c>
      <c r="M12" s="20">
        <f>Table1[[#This Row],[Area adicional necesaria estimada (ha)]]/Table1[[#This Row],[Área Nec. para Satisfacer 
 Consumo Local Total (ha)]]*100</f>
        <v>88.351380946587184</v>
      </c>
    </row>
    <row r="13" spans="1:13">
      <c r="A13" s="31" t="s">
        <v>28</v>
      </c>
      <c r="B13" s="31" t="s">
        <v>18</v>
      </c>
      <c r="C13" s="77">
        <v>11319.804168821232</v>
      </c>
      <c r="D13" s="77">
        <v>6638.8916608455584</v>
      </c>
      <c r="E13" s="77">
        <v>38.419319429198687</v>
      </c>
      <c r="F13" s="77">
        <v>6600.47234141636</v>
      </c>
      <c r="G13" s="77">
        <v>17920.276510237592</v>
      </c>
      <c r="H13" s="32">
        <f>_xlfn.XLOOKUP(Table1[[#This Row],[Cultivo]],Table5[Cultivo],Table5[Rendimiento Potencial  (kg/ha)],"error",0,1)</f>
        <v>31936.932441872075</v>
      </c>
      <c r="I13" s="25">
        <f>Table1[[#This Row],[Disponible Para Consumo (Toneladas)]]*1000/Table1[[#This Row],[RR100  (kg/ha)]]</f>
        <v>561.11451977593697</v>
      </c>
      <c r="J13" s="25">
        <f>Table1[[#This Row],[Producción Local (Toneladas)]]*1000/Table1[[#This Row],[RR100  (kg/ha)]]</f>
        <v>354.4424371196024</v>
      </c>
      <c r="K13" s="25">
        <f>Table1[[#This Row],[Área Nec. para Satisfacer 
 Consumo Local Total (ha)]]-Table1[[#This Row],[Area local en produccion estimada (ha)]]</f>
        <v>206.67208265633457</v>
      </c>
      <c r="L13" s="25">
        <f>Table1[[#This Row],[Area local en produccion estimada (ha)]]/Table1[[#This Row],[Área Nec. para Satisfacer 
 Consumo Local Total (ha)]]*100</f>
        <v>63.167575357190465</v>
      </c>
      <c r="M13" s="25">
        <f>Table1[[#This Row],[Area adicional necesaria estimada (ha)]]/Table1[[#This Row],[Área Nec. para Satisfacer 
 Consumo Local Total (ha)]]*100</f>
        <v>36.832424642809528</v>
      </c>
    </row>
    <row r="14" spans="1:13">
      <c r="A14" s="31" t="s">
        <v>29</v>
      </c>
      <c r="B14" s="31" t="s">
        <v>18</v>
      </c>
      <c r="C14" s="77">
        <v>195.04495105732508</v>
      </c>
      <c r="D14" s="77">
        <v>2967.964244782926</v>
      </c>
      <c r="E14" s="77">
        <v>0</v>
      </c>
      <c r="F14" s="77">
        <v>2967.964244782926</v>
      </c>
      <c r="G14" s="77">
        <v>3163.0091958402513</v>
      </c>
      <c r="H14" s="32">
        <f>_xlfn.XLOOKUP(Table1[[#This Row],[Cultivo]],Table5[Cultivo],Table5[Rendimiento Potencial  (kg/ha)],"error",0,1)</f>
        <v>34218.141902005787</v>
      </c>
      <c r="I14" s="25">
        <f>Table1[[#This Row],[Disponible Para Consumo (Toneladas)]]*1000/Table1[[#This Row],[RR100  (kg/ha)]]</f>
        <v>92.436614615092324</v>
      </c>
      <c r="J14" s="25">
        <f>Table1[[#This Row],[Producción Local (Toneladas)]]*1000/Table1[[#This Row],[RR100  (kg/ha)]]</f>
        <v>5.700045070123811</v>
      </c>
      <c r="K14" s="25">
        <f>Table1[[#This Row],[Área Nec. para Satisfacer 
 Consumo Local Total (ha)]]-Table1[[#This Row],[Area local en produccion estimada (ha)]]</f>
        <v>86.736569544968518</v>
      </c>
      <c r="L14" s="25">
        <f>Table1[[#This Row],[Area local en produccion estimada (ha)]]/Table1[[#This Row],[Área Nec. para Satisfacer 
 Consumo Local Total (ha)]]*100</f>
        <v>6.1664364211723877</v>
      </c>
      <c r="M14" s="25">
        <f>Table1[[#This Row],[Area adicional necesaria estimada (ha)]]/Table1[[#This Row],[Área Nec. para Satisfacer 
 Consumo Local Total (ha)]]*100</f>
        <v>93.833563578827622</v>
      </c>
    </row>
    <row r="15" spans="1:13">
      <c r="A15" s="31" t="s">
        <v>30</v>
      </c>
      <c r="B15" s="31" t="s">
        <v>18</v>
      </c>
      <c r="C15" s="77">
        <v>7988.8597581442609</v>
      </c>
      <c r="D15" s="77">
        <v>310.84722083624393</v>
      </c>
      <c r="E15" s="77">
        <v>17.26677008585002</v>
      </c>
      <c r="F15" s="77">
        <v>293.58045075039388</v>
      </c>
      <c r="G15" s="77">
        <v>8282.4402088946554</v>
      </c>
      <c r="H15" s="32">
        <f>_xlfn.XLOOKUP(Table1[[#This Row],[Cultivo]],Table5[Cultivo],Table5[Rendimiento Potencial  (kg/ha)],"error",0,1)</f>
        <v>126370.93920947828</v>
      </c>
      <c r="I15" s="25">
        <f>Table1[[#This Row],[Disponible Para Consumo (Toneladas)]]*1000/Table1[[#This Row],[RR100  (kg/ha)]]</f>
        <v>65.540703113437345</v>
      </c>
      <c r="J15" s="25">
        <f>Table1[[#This Row],[Producción Local (Toneladas)]]*1000/Table1[[#This Row],[RR100  (kg/ha)]]</f>
        <v>63.217538843337707</v>
      </c>
      <c r="K15" s="25">
        <f>Table1[[#This Row],[Área Nec. para Satisfacer 
 Consumo Local Total (ha)]]-Table1[[#This Row],[Area local en produccion estimada (ha)]]</f>
        <v>2.3231642700996389</v>
      </c>
      <c r="L15" s="25">
        <f>Table1[[#This Row],[Area local en produccion estimada (ha)]]/Table1[[#This Row],[Área Nec. para Satisfacer 
 Consumo Local Total (ha)]]*100</f>
        <v>96.455387019454577</v>
      </c>
      <c r="M15" s="25">
        <f>Table1[[#This Row],[Area adicional necesaria estimada (ha)]]/Table1[[#This Row],[Área Nec. para Satisfacer 
 Consumo Local Total (ha)]]*100</f>
        <v>3.5446129805454238</v>
      </c>
    </row>
    <row r="16" spans="1:13">
      <c r="A16" s="31" t="s">
        <v>31</v>
      </c>
      <c r="B16" s="31" t="s">
        <v>18</v>
      </c>
      <c r="C16" s="77">
        <v>5143.1388024542402</v>
      </c>
      <c r="D16" s="77">
        <v>3890.5722225750164</v>
      </c>
      <c r="E16" s="77">
        <v>29.135784549415927</v>
      </c>
      <c r="F16" s="77">
        <v>3861.4364380256011</v>
      </c>
      <c r="G16" s="77">
        <v>9004.5752404798423</v>
      </c>
      <c r="H16" s="32">
        <f>_xlfn.XLOOKUP(Table1[[#This Row],[Cultivo]],Table5[Cultivo],Table5[Rendimiento Potencial  (kg/ha)],"error",0,1)</f>
        <v>34563.77969899575</v>
      </c>
      <c r="I16" s="25">
        <f>Table1[[#This Row],[Disponible Para Consumo (Toneladas)]]*1000/Table1[[#This Row],[RR100  (kg/ha)]]</f>
        <v>260.52055993000874</v>
      </c>
      <c r="J16" s="25">
        <f>Table1[[#This Row],[Producción Local (Toneladas)]]*1000/Table1[[#This Row],[RR100  (kg/ha)]]</f>
        <v>148.80139982502186</v>
      </c>
      <c r="K16" s="25">
        <f>Table1[[#This Row],[Área Nec. para Satisfacer 
 Consumo Local Total (ha)]]-Table1[[#This Row],[Area local en produccion estimada (ha)]]</f>
        <v>111.71916010498688</v>
      </c>
      <c r="L16" s="25">
        <f>Table1[[#This Row],[Area local en produccion estimada (ha)]]/Table1[[#This Row],[Área Nec. para Satisfacer 
 Consumo Local Total (ha)]]*100</f>
        <v>57.116950717823855</v>
      </c>
      <c r="M16" s="25">
        <f>Table1[[#This Row],[Area adicional necesaria estimada (ha)]]/Table1[[#This Row],[Área Nec. para Satisfacer 
 Consumo Local Total (ha)]]*100</f>
        <v>42.883049282176145</v>
      </c>
    </row>
    <row r="17" spans="1:13">
      <c r="A17" s="31" t="s">
        <v>32</v>
      </c>
      <c r="B17" s="31" t="s">
        <v>18</v>
      </c>
      <c r="C17" s="78">
        <v>8149.4921271390704</v>
      </c>
      <c r="D17" s="78">
        <v>2267.3899961595807</v>
      </c>
      <c r="E17" s="78">
        <v>199.11216747859802</v>
      </c>
      <c r="F17" s="78">
        <v>2068.2778286809826</v>
      </c>
      <c r="G17" s="78">
        <v>10217.769955820051</v>
      </c>
      <c r="H17" s="33">
        <f>_xlfn.XLOOKUP(Table1[[#This Row],[Cultivo]],Table5[Cultivo],Table5[Rendimiento Potencial  (kg/ha)],"error",0,1)</f>
        <v>51899.819470022056</v>
      </c>
      <c r="I17" s="25">
        <f>Table1[[#This Row],[Disponible Para Consumo (Toneladas)]]*1000/Table1[[#This Row],[RR100  (kg/ha)]]</f>
        <v>196.87486507967444</v>
      </c>
      <c r="J17" s="20">
        <f>Table1[[#This Row],[Producción Local (Toneladas)]]*1000/Table1[[#This Row],[RR100  (kg/ha)]]</f>
        <v>157.02351588807187</v>
      </c>
      <c r="K17" s="20">
        <f>Table1[[#This Row],[Área Nec. para Satisfacer 
 Consumo Local Total (ha)]]-Table1[[#This Row],[Area local en produccion estimada (ha)]]</f>
        <v>39.851349191602566</v>
      </c>
      <c r="L17" s="20">
        <f>Table1[[#This Row],[Area local en produccion estimada (ha)]]/Table1[[#This Row],[Área Nec. para Satisfacer 
 Consumo Local Total (ha)]]*100</f>
        <v>79.758030983043525</v>
      </c>
      <c r="M17" s="20">
        <f>Table1[[#This Row],[Area adicional necesaria estimada (ha)]]/Table1[[#This Row],[Área Nec. para Satisfacer 
 Consumo Local Total (ha)]]*100</f>
        <v>20.241969016956478</v>
      </c>
    </row>
    <row r="18" spans="1:13">
      <c r="A18" s="31" t="s">
        <v>33</v>
      </c>
      <c r="B18" s="31" t="s">
        <v>20</v>
      </c>
      <c r="C18" s="78">
        <v>843.53161391381138</v>
      </c>
      <c r="D18" s="78">
        <v>126.86993676914844</v>
      </c>
      <c r="E18" s="78">
        <v>0</v>
      </c>
      <c r="F18" s="78">
        <v>126.86993676914844</v>
      </c>
      <c r="G18" s="78">
        <v>970.40155068295996</v>
      </c>
      <c r="H18" s="33">
        <f>_xlfn.XLOOKUP(Table1[[#This Row],[Cultivo]],Table5[Cultivo],Table5[Rendimiento Potencial  (kg/ha)],"error",0,1)</f>
        <v>40324.409648828376</v>
      </c>
      <c r="I18" s="25">
        <f>Table1[[#This Row],[Disponible Para Consumo (Toneladas)]]*1000/Table1[[#This Row],[RR100  (kg/ha)]]</f>
        <v>24.064866891638548</v>
      </c>
      <c r="J18" s="20">
        <f>Table1[[#This Row],[Producción Local (Toneladas)]]*1000/Table1[[#This Row],[RR100  (kg/ha)]]</f>
        <v>20.918635170603675</v>
      </c>
      <c r="K18" s="20">
        <f>Table1[[#This Row],[Área Nec. para Satisfacer 
 Consumo Local Total (ha)]]-Table1[[#This Row],[Area local en produccion estimada (ha)]]</f>
        <v>3.1462317210348729</v>
      </c>
      <c r="L18" s="20">
        <f>Table1[[#This Row],[Area local en produccion estimada (ha)]]/Table1[[#This Row],[Área Nec. para Satisfacer 
 Consumo Local Total (ha)]]*100</f>
        <v>86.926037300758779</v>
      </c>
      <c r="M18" s="20">
        <f>Table1[[#This Row],[Area adicional necesaria estimada (ha)]]/Table1[[#This Row],[Área Nec. para Satisfacer 
 Consumo Local Total (ha)]]*100</f>
        <v>13.073962699241214</v>
      </c>
    </row>
    <row r="19" spans="1:13">
      <c r="A19" s="31" t="s">
        <v>34</v>
      </c>
      <c r="B19" s="31" t="s">
        <v>20</v>
      </c>
      <c r="C19" s="78">
        <v>908.21396279933367</v>
      </c>
      <c r="D19" s="78">
        <v>15.497757739051027</v>
      </c>
      <c r="E19" s="78">
        <v>0</v>
      </c>
      <c r="F19" s="78">
        <v>15.497757739051027</v>
      </c>
      <c r="G19" s="78">
        <v>923.71172053838472</v>
      </c>
      <c r="H19" s="33">
        <f>_xlfn.XLOOKUP(Table1[[#This Row],[Cultivo]],Table5[Cultivo],Table5[Rendimiento Potencial  (kg/ha)],"error",0,1)</f>
        <v>50714.281826346501</v>
      </c>
      <c r="I19" s="25">
        <f>Table1[[#This Row],[Disponible Para Consumo (Toneladas)]]*1000/Table1[[#This Row],[RR100  (kg/ha)]]</f>
        <v>18.214035322462333</v>
      </c>
      <c r="J19" s="20">
        <f>Table1[[#This Row],[Producción Local (Toneladas)]]*1000/Table1[[#This Row],[RR100  (kg/ha)]]</f>
        <v>17.908445709814011</v>
      </c>
      <c r="K19" s="20">
        <f>Table1[[#This Row],[Área Nec. para Satisfacer 
 Consumo Local Total (ha)]]-Table1[[#This Row],[Area local en produccion estimada (ha)]]</f>
        <v>0.30558961264832263</v>
      </c>
      <c r="L19" s="20">
        <f>Table1[[#This Row],[Area local en produccion estimada (ha)]]/Table1[[#This Row],[Área Nec. para Satisfacer 
 Consumo Local Total (ha)]]*100</f>
        <v>98.322230042721742</v>
      </c>
      <c r="M19" s="20">
        <f>Table1[[#This Row],[Area adicional necesaria estimada (ha)]]/Table1[[#This Row],[Área Nec. para Satisfacer 
 Consumo Local Total (ha)]]*100</f>
        <v>1.6777699572782554</v>
      </c>
    </row>
    <row r="20" spans="1:13">
      <c r="A20" s="31" t="s">
        <v>35</v>
      </c>
      <c r="B20" s="31" t="s">
        <v>20</v>
      </c>
      <c r="C20" s="78">
        <v>11744.200814652866</v>
      </c>
      <c r="D20" s="78">
        <v>880.52967556011163</v>
      </c>
      <c r="E20" s="78">
        <v>0</v>
      </c>
      <c r="F20" s="78">
        <v>880.52967556011163</v>
      </c>
      <c r="G20" s="78">
        <v>12624.730490212976</v>
      </c>
      <c r="H20" s="32">
        <f>_xlfn.XLOOKUP(Table1[[#This Row],[Cultivo]],Table5[Cultivo],Table5[Rendimiento Potencial  (kg/ha)],"error",0,1)</f>
        <v>36469.396086400389</v>
      </c>
      <c r="I20" s="25">
        <f>Table1[[#This Row],[Disponible Para Consumo (Toneladas)]]*1000/Table1[[#This Row],[RR100  (kg/ha)]]</f>
        <v>346.17328075034396</v>
      </c>
      <c r="J20" s="20">
        <f>Table1[[#This Row],[Producción Local (Toneladas)]]*1000/Table1[[#This Row],[RR100  (kg/ha)]]</f>
        <v>322.02893590092469</v>
      </c>
      <c r="K20" s="20">
        <f>Table1[[#This Row],[Área Nec. para Satisfacer 
 Consumo Local Total (ha)]]-Table1[[#This Row],[Area local en produccion estimada (ha)]]</f>
        <v>24.144344849419269</v>
      </c>
      <c r="L20" s="20">
        <f>Table1[[#This Row],[Area local en produccion estimada (ha)]]/Table1[[#This Row],[Área Nec. para Satisfacer 
 Consumo Local Total (ha)]]*100</f>
        <v>93.025358630485442</v>
      </c>
      <c r="M20" s="20">
        <f>Table1[[#This Row],[Area adicional necesaria estimada (ha)]]/Table1[[#This Row],[Área Nec. para Satisfacer 
 Consumo Local Total (ha)]]*100</f>
        <v>6.9746413695145586</v>
      </c>
    </row>
    <row r="21" spans="1:13">
      <c r="A21" s="31" t="s">
        <v>36</v>
      </c>
      <c r="B21" s="31" t="s">
        <v>20</v>
      </c>
      <c r="C21" s="78">
        <v>1227.4072931691935</v>
      </c>
      <c r="D21" s="78">
        <v>15558.161194824203</v>
      </c>
      <c r="E21" s="78">
        <v>10.326798571484732</v>
      </c>
      <c r="F21" s="78">
        <v>15547.834396252721</v>
      </c>
      <c r="G21" s="78">
        <v>16775.241689421913</v>
      </c>
      <c r="H21" s="33">
        <f>_xlfn.XLOOKUP(Table1[[#This Row],[Cultivo]],Table5[Cultivo],Table5[Rendimiento Potencial  (kg/ha)],"error",0,1)</f>
        <v>34880.614346236543</v>
      </c>
      <c r="I21" s="25">
        <f>Table1[[#This Row],[Disponible Para Consumo (Toneladas)]]*1000/Table1[[#This Row],[RR100  (kg/ha)]]</f>
        <v>480.93309145605355</v>
      </c>
      <c r="J21" s="20">
        <f>Table1[[#This Row],[Producción Local (Toneladas)]]*1000/Table1[[#This Row],[RR100  (kg/ha)]]</f>
        <v>35.188809491299139</v>
      </c>
      <c r="K21" s="20">
        <f>Table1[[#This Row],[Área Nec. para Satisfacer 
 Consumo Local Total (ha)]]-Table1[[#This Row],[Area local en produccion estimada (ha)]]</f>
        <v>445.74428196475441</v>
      </c>
      <c r="L21" s="20">
        <f>Table1[[#This Row],[Area local en produccion estimada (ha)]]/Table1[[#This Row],[Área Nec. para Satisfacer 
 Consumo Local Total (ha)]]*100</f>
        <v>7.316778594869179</v>
      </c>
      <c r="M21" s="20">
        <f>Table1[[#This Row],[Area adicional necesaria estimada (ha)]]/Table1[[#This Row],[Área Nec. para Satisfacer 
 Consumo Local Total (ha)]]*100</f>
        <v>92.683221405130823</v>
      </c>
    </row>
    <row r="22" spans="1:13">
      <c r="A22" s="31" t="s">
        <v>37</v>
      </c>
      <c r="B22" s="31" t="s">
        <v>20</v>
      </c>
      <c r="C22" s="77">
        <v>846.78236309810006</v>
      </c>
      <c r="D22" s="77">
        <v>267.12086436664828</v>
      </c>
      <c r="E22" s="77">
        <v>0</v>
      </c>
      <c r="F22" s="77">
        <v>267.12086436664828</v>
      </c>
      <c r="G22" s="77">
        <v>1113.9032274647484</v>
      </c>
      <c r="H22" s="32">
        <f>_xlfn.XLOOKUP(Table1[[#This Row],[Cultivo]],Table5[Cultivo],Table5[Rendimiento Potencial  (kg/ha)],"error",0,1)</f>
        <v>24999.981856283626</v>
      </c>
      <c r="I22" s="25">
        <f>Table1[[#This Row],[Disponible Para Consumo (Toneladas)]]*1000/Table1[[#This Row],[RR100  (kg/ha)]]</f>
        <v>44.556161435164164</v>
      </c>
      <c r="J22" s="25">
        <f>Table1[[#This Row],[Producción Local (Toneladas)]]*1000/Table1[[#This Row],[RR100  (kg/ha)]]</f>
        <v>33.871319105988285</v>
      </c>
      <c r="K22" s="25">
        <f>Table1[[#This Row],[Área Nec. para Satisfacer 
 Consumo Local Total (ha)]]-Table1[[#This Row],[Area local en produccion estimada (ha)]]</f>
        <v>10.684842329175879</v>
      </c>
      <c r="L22" s="25">
        <f>Table1[[#This Row],[Area local en produccion estimada (ha)]]/Table1[[#This Row],[Área Nec. para Satisfacer 
 Consumo Local Total (ha)]]*100</f>
        <v>76.019383212075141</v>
      </c>
      <c r="M22" s="25">
        <f>Table1[[#This Row],[Area adicional necesaria estimada (ha)]]/Table1[[#This Row],[Área Nec. para Satisfacer 
 Consumo Local Total (ha)]]*100</f>
        <v>23.980616787924859</v>
      </c>
    </row>
    <row r="23" spans="1:13">
      <c r="A23" s="31" t="s">
        <v>38</v>
      </c>
      <c r="B23" s="31" t="s">
        <v>20</v>
      </c>
      <c r="C23" s="77">
        <v>168.90287971018438</v>
      </c>
      <c r="D23" s="77">
        <v>157.0036257193228</v>
      </c>
      <c r="E23" s="77">
        <v>0</v>
      </c>
      <c r="F23" s="77">
        <v>157.0036257193228</v>
      </c>
      <c r="G23" s="77">
        <v>325.90650542950715</v>
      </c>
      <c r="H23" s="32">
        <f>_xlfn.XLOOKUP(Table1[[#This Row],[Cultivo]],Table5[Cultivo],Table5[Rendimiento Potencial  (kg/ha)],"error",0,1)</f>
        <v>1959.7663089330592</v>
      </c>
      <c r="I23" s="25">
        <f>Table1[[#This Row],[Disponible Para Consumo (Toneladas)]]*1000/Table1[[#This Row],[RR100  (kg/ha)]]</f>
        <v>166.29865711230539</v>
      </c>
      <c r="J23" s="25">
        <f>Table1[[#This Row],[Producción Local (Toneladas)]]*1000/Table1[[#This Row],[RR100  (kg/ha)]]</f>
        <v>86.18521450250816</v>
      </c>
      <c r="K23" s="25">
        <f>Table1[[#This Row],[Área Nec. para Satisfacer 
 Consumo Local Total (ha)]]-Table1[[#This Row],[Area local en produccion estimada (ha)]]</f>
        <v>80.113442609797232</v>
      </c>
      <c r="L23" s="25">
        <f>Table1[[#This Row],[Area local en produccion estimada (ha)]]/Table1[[#This Row],[Área Nec. para Satisfacer 
 Consumo Local Total (ha)]]*100</f>
        <v>51.82556251449779</v>
      </c>
      <c r="M23" s="25">
        <f>Table1[[#This Row],[Area adicional necesaria estimada (ha)]]/Table1[[#This Row],[Área Nec. para Satisfacer 
 Consumo Local Total (ha)]]*100</f>
        <v>48.17443748550221</v>
      </c>
    </row>
    <row r="24" spans="1:13">
      <c r="A24" s="31" t="s">
        <v>39</v>
      </c>
      <c r="B24" s="31" t="s">
        <v>20</v>
      </c>
      <c r="C24" s="78">
        <v>45.10225496155045</v>
      </c>
      <c r="D24" s="78">
        <v>2274.5870036559591</v>
      </c>
      <c r="E24" s="78">
        <v>18.521710468621954</v>
      </c>
      <c r="F24" s="78">
        <v>2256.0652931873369</v>
      </c>
      <c r="G24" s="78">
        <v>2301.1675481488878</v>
      </c>
      <c r="H24" s="33">
        <f>_xlfn.XLOOKUP(Table1[[#This Row],[Cultivo]],Table5[Cultivo],Table5[Rendimiento Potencial  (kg/ha)],"error",0,1)</f>
        <v>5760.6299498326243</v>
      </c>
      <c r="I24" s="25">
        <f>Table1[[#This Row],[Disponible Para Consumo (Toneladas)]]*1000/Table1[[#This Row],[RR100  (kg/ha)]]</f>
        <v>399.46456692913392</v>
      </c>
      <c r="J24" s="20">
        <f>Table1[[#This Row],[Producción Local (Toneladas)]]*1000/Table1[[#This Row],[RR100  (kg/ha)]]</f>
        <v>7.8293963254593182</v>
      </c>
      <c r="K24" s="20">
        <f>Table1[[#This Row],[Área Nec. para Satisfacer 
 Consumo Local Total (ha)]]-Table1[[#This Row],[Area local en produccion estimada (ha)]]</f>
        <v>391.63517060367462</v>
      </c>
      <c r="L24" s="20">
        <f>Table1[[#This Row],[Area local en produccion estimada (ha)]]/Table1[[#This Row],[Área Nec. para Satisfacer 
 Consumo Local Total (ha)]]*100</f>
        <v>1.959972666824358</v>
      </c>
      <c r="M24" s="20">
        <f>Table1[[#This Row],[Area adicional necesaria estimada (ha)]]/Table1[[#This Row],[Área Nec. para Satisfacer 
 Consumo Local Total (ha)]]*100</f>
        <v>98.040027333175644</v>
      </c>
    </row>
    <row r="25" spans="1:13">
      <c r="A25" s="31" t="s">
        <v>40</v>
      </c>
      <c r="B25" s="31" t="s">
        <v>20</v>
      </c>
      <c r="C25" s="77">
        <v>1402.4185573931111</v>
      </c>
      <c r="D25" s="77">
        <v>83.083101244961341</v>
      </c>
      <c r="E25" s="77">
        <v>0</v>
      </c>
      <c r="F25" s="77">
        <v>83.083101244961341</v>
      </c>
      <c r="G25" s="77">
        <v>1485.5016586380725</v>
      </c>
      <c r="H25" s="32">
        <f>_xlfn.XLOOKUP(Table1[[#This Row],[Cultivo]],Table5[Cultivo],Table5[Rendimiento Potencial  (kg/ha)],"error",0,1)</f>
        <v>51671.69852400868</v>
      </c>
      <c r="I25" s="25">
        <f>Table1[[#This Row],[Disponible Para Consumo (Toneladas)]]*1000/Table1[[#This Row],[RR100  (kg/ha)]]</f>
        <v>28.748845133237698</v>
      </c>
      <c r="J25" s="25">
        <f>Table1[[#This Row],[Producción Local (Toneladas)]]*1000/Table1[[#This Row],[RR100  (kg/ha)]]</f>
        <v>27.140941704122479</v>
      </c>
      <c r="K25" s="25">
        <f>Table1[[#This Row],[Área Nec. para Satisfacer 
 Consumo Local Total (ha)]]-Table1[[#This Row],[Area local en produccion estimada (ha)]]</f>
        <v>1.6079034291152183</v>
      </c>
      <c r="L25" s="25">
        <f>Table1[[#This Row],[Area local en produccion estimada (ha)]]/Table1[[#This Row],[Área Nec. para Satisfacer 
 Consumo Local Total (ha)]]*100</f>
        <v>94.407067756414833</v>
      </c>
      <c r="M25" s="25">
        <f>Table1[[#This Row],[Area adicional necesaria estimada (ha)]]/Table1[[#This Row],[Área Nec. para Satisfacer 
 Consumo Local Total (ha)]]*100</f>
        <v>5.5929322435851736</v>
      </c>
    </row>
    <row r="26" spans="1:13">
      <c r="A26" s="31" t="s">
        <v>41</v>
      </c>
      <c r="B26" s="31" t="s">
        <v>20</v>
      </c>
      <c r="C26" s="77">
        <v>2577.6173066862616</v>
      </c>
      <c r="D26" s="77">
        <v>4236.6333729471153</v>
      </c>
      <c r="E26" s="77">
        <v>12.79132004608504</v>
      </c>
      <c r="F26" s="77">
        <v>4223.84205290103</v>
      </c>
      <c r="G26" s="77">
        <v>6801.4593595872921</v>
      </c>
      <c r="H26" s="32">
        <f>_xlfn.XLOOKUP(Table1[[#This Row],[Cultivo]],Table5[Cultivo],Table5[Rendimiento Potencial  (kg/ha)],"error",0,1)</f>
        <v>39300.16964374813</v>
      </c>
      <c r="I26" s="25">
        <f>Table1[[#This Row],[Disponible Para Consumo (Toneladas)]]*1000/Table1[[#This Row],[RR100  (kg/ha)]]</f>
        <v>173.06437659790785</v>
      </c>
      <c r="J26" s="25">
        <f>Table1[[#This Row],[Producción Local (Toneladas)]]*1000/Table1[[#This Row],[RR100  (kg/ha)]]</f>
        <v>65.58794351403796</v>
      </c>
      <c r="K26" s="25">
        <f>Table1[[#This Row],[Área Nec. para Satisfacer 
 Consumo Local Total (ha)]]-Table1[[#This Row],[Area local en produccion estimada (ha)]]</f>
        <v>107.47643308386989</v>
      </c>
      <c r="L26" s="25">
        <f>Table1[[#This Row],[Area local en produccion estimada (ha)]]/Table1[[#This Row],[Área Nec. para Satisfacer 
 Consumo Local Total (ha)]]*100</f>
        <v>37.898003507921715</v>
      </c>
      <c r="M26" s="25">
        <f>Table1[[#This Row],[Area adicional necesaria estimada (ha)]]/Table1[[#This Row],[Área Nec. para Satisfacer 
 Consumo Local Total (ha)]]*100</f>
        <v>62.101996492078293</v>
      </c>
    </row>
    <row r="27" spans="1:13">
      <c r="A27" s="31" t="s">
        <v>42</v>
      </c>
      <c r="B27" s="31" t="s">
        <v>20</v>
      </c>
      <c r="C27" s="78">
        <v>207.77579204881872</v>
      </c>
      <c r="D27" s="78">
        <v>2822.3760406177335</v>
      </c>
      <c r="E27" s="78">
        <v>7.4540434783923475</v>
      </c>
      <c r="F27" s="78">
        <v>2814.9219971393413</v>
      </c>
      <c r="G27" s="78">
        <v>3022.6977891881597</v>
      </c>
      <c r="H27" s="33">
        <f>_xlfn.XLOOKUP(Table1[[#This Row],[Cultivo]],Table5[Cultivo],Table5[Rendimiento Potencial  (kg/ha)],"error",0,1)</f>
        <v>42167.811232774817</v>
      </c>
      <c r="I27" s="25">
        <f>Table1[[#This Row],[Disponible Para Consumo (Toneladas)]]*1000/Table1[[#This Row],[RR100  (kg/ha)]]</f>
        <v>71.682586807796554</v>
      </c>
      <c r="J27" s="20">
        <f>Table1[[#This Row],[Producción Local (Toneladas)]]*1000/Table1[[#This Row],[RR100  (kg/ha)]]</f>
        <v>4.9273553920514033</v>
      </c>
      <c r="K27" s="20">
        <f>Table1[[#This Row],[Área Nec. para Satisfacer 
 Consumo Local Total (ha)]]-Table1[[#This Row],[Area local en produccion estimada (ha)]]</f>
        <v>66.755231415745158</v>
      </c>
      <c r="L27" s="20">
        <f>Table1[[#This Row],[Area local en produccion estimada (ha)]]/Table1[[#This Row],[Área Nec. para Satisfacer 
 Consumo Local Total (ha)]]*100</f>
        <v>6.8738526488492742</v>
      </c>
      <c r="M27" s="20">
        <f>Table1[[#This Row],[Area adicional necesaria estimada (ha)]]/Table1[[#This Row],[Área Nec. para Satisfacer 
 Consumo Local Total (ha)]]*100</f>
        <v>93.126147351150735</v>
      </c>
    </row>
    <row r="28" spans="1:13">
      <c r="A28" s="31" t="s">
        <v>43</v>
      </c>
      <c r="B28" s="31" t="s">
        <v>20</v>
      </c>
      <c r="C28" s="78">
        <v>17225.462891564082</v>
      </c>
      <c r="D28" s="78">
        <v>11978.451312849078</v>
      </c>
      <c r="E28" s="78">
        <v>1393.8002921138338</v>
      </c>
      <c r="F28" s="78">
        <v>10584.651020735246</v>
      </c>
      <c r="G28" s="78">
        <v>27810.113912299326</v>
      </c>
      <c r="H28" s="33">
        <f>_xlfn.XLOOKUP(Table1[[#This Row],[Cultivo]],Table5[Cultivo],Table5[Rendimiento Potencial  (kg/ha)],"error",0,1)</f>
        <v>84466.964828405806</v>
      </c>
      <c r="I28" s="25">
        <f>Table1[[#This Row],[Disponible Para Consumo (Toneladas)]]*1000/Table1[[#This Row],[RR100  (kg/ha)]]</f>
        <v>329.24249105902442</v>
      </c>
      <c r="J28" s="20">
        <f>Table1[[#This Row],[Producción Local (Toneladas)]]*1000/Table1[[#This Row],[RR100  (kg/ha)]]</f>
        <v>203.93135856790309</v>
      </c>
      <c r="K28" s="20">
        <f>Table1[[#This Row],[Área Nec. para Satisfacer 
 Consumo Local Total (ha)]]-Table1[[#This Row],[Area local en produccion estimada (ha)]]</f>
        <v>125.31113249112133</v>
      </c>
      <c r="L28" s="20">
        <f>Table1[[#This Row],[Area local en produccion estimada (ha)]]/Table1[[#This Row],[Área Nec. para Satisfacer 
 Consumo Local Total (ha)]]*100</f>
        <v>61.939562512708491</v>
      </c>
      <c r="M28" s="20">
        <f>Table1[[#This Row],[Area adicional necesaria estimada (ha)]]/Table1[[#This Row],[Área Nec. para Satisfacer 
 Consumo Local Total (ha)]]*100</f>
        <v>38.060437487291509</v>
      </c>
    </row>
    <row r="29" spans="1:13" ht="15.75" thickBot="1"/>
    <row r="30" spans="1:13">
      <c r="A30" s="17" t="s">
        <v>56</v>
      </c>
      <c r="B30" s="11"/>
      <c r="C30" s="75">
        <f>SUBTOTAL(1,Table1[Producción Local (Toneladas)])</f>
        <v>3148.4561377336554</v>
      </c>
      <c r="D30" s="75">
        <f>SUBTOTAL(1,Table1[Importación (Toneladas)])</f>
        <v>5661.0495064741162</v>
      </c>
      <c r="E30" s="75">
        <f>SUBTOTAL(1,Table1[Exportación (Toneladas)])</f>
        <v>82.347832738678633</v>
      </c>
      <c r="F30" s="75">
        <f>SUBTOTAL(1,Table1[Importación Neta (Toneladas)])</f>
        <v>5578.7016737354379</v>
      </c>
      <c r="G30" s="75">
        <f>SUBTOTAL(1,Table1[Disponible Para Consumo (Toneladas)])</f>
        <v>8727.1578170690045</v>
      </c>
      <c r="H30" s="12"/>
      <c r="I30" s="23">
        <f>SUBTOTAL(1,Table1[Área Nec. para Satisfacer 
 Consumo Local Total (ha)])</f>
        <v>3415.5858983267226</v>
      </c>
      <c r="J30" s="12">
        <f>SUBTOTAL(1,Table1[Area local en produccion estimada (ha)])</f>
        <v>437.59829556119871</v>
      </c>
      <c r="K30" s="12">
        <f>SUBTOTAL(1,Table1[Area adicional necesaria estimada (ha)])</f>
        <v>2977.9876027655246</v>
      </c>
      <c r="L30" s="12">
        <f>SUBTOTAL(1,Table1[Area local en prod. (%)])</f>
        <v>47.171645168949496</v>
      </c>
      <c r="M30" s="13">
        <f>SUBTOTAL(1,Table1[Area adicional neccesaria (%)])</f>
        <v>52.828354831050511</v>
      </c>
    </row>
    <row r="31" spans="1:13" ht="15.75" thickBot="1">
      <c r="A31" s="18" t="s">
        <v>44</v>
      </c>
      <c r="B31" s="14"/>
      <c r="C31" s="76">
        <f>SUBTOTAL(9,Table1[Producción Local (Toneladas)])</f>
        <v>85008.315718808692</v>
      </c>
      <c r="D31" s="76">
        <f>SUBTOTAL(9,Table1[Importación (Toneladas)])</f>
        <v>152848.33667480113</v>
      </c>
      <c r="E31" s="76">
        <f>SUBTOTAL(9,Table1[Exportación (Toneladas)])</f>
        <v>2223.3914839443232</v>
      </c>
      <c r="F31" s="76">
        <f>SUBTOTAL(9,Table1[Importación Neta (Toneladas)])</f>
        <v>150624.94519085682</v>
      </c>
      <c r="G31" s="76">
        <f>SUBTOTAL(9,Table1[Disponible Para Consumo (Toneladas)])</f>
        <v>235633.26106086312</v>
      </c>
      <c r="H31" s="15"/>
      <c r="I31" s="24">
        <f>SUBTOTAL(9,Table1[Área Nec. para Satisfacer 
 Consumo Local Total (ha)])</f>
        <v>92220.819254821516</v>
      </c>
      <c r="J31" s="15">
        <f>SUBTOTAL(9,Table1[Area local en produccion estimada (ha)])</f>
        <v>11815.153980152365</v>
      </c>
      <c r="K31" s="15">
        <f>SUBTOTAL(9,Table1[Area adicional necesaria estimada (ha)])</f>
        <v>80405.665274669169</v>
      </c>
      <c r="L31" s="15">
        <f>SUBTOTAL(9,Table1[Area local en prod. (%)])</f>
        <v>1273.6344195616364</v>
      </c>
      <c r="M31" s="16">
        <f>SUBTOTAL(9,Table1[Area adicional neccesaria (%)])</f>
        <v>1426.3655804383638</v>
      </c>
    </row>
  </sheetData>
  <sheetProtection algorithmName="SHA-512" hashValue="MaBHYy9TLclw4SLD3Xny3777oGEEckXmEJMWLH/ih6AB2+GlGEXfOkwpG8Ax2uJAcsFi1/4kfkTFE5L9Zr4E3A==" saltValue="yn9Wb4ftP0tZfS2RRpWdtA==" spinCount="100000" sheet="1" objects="1" scenarios="1" selectLockedCells="1" sort="0"/>
  <protectedRanges>
    <protectedRange algorithmName="SHA-512" hashValue="Cj7pjcb9LO/Zld4T3f/SS44FT1XEKxInKzVgM2bUxWCdofQPawVUNVNHCSSQCF5CF5YApG1jrfGCuY4admfXPw==" saltValue="BnVnwI3xx47qC98Y12Xe/Q==" spinCount="100000" sqref="H2:H28" name="Range1"/>
  </protectedRange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6B72-C155-43F8-9B14-2DF33D532B3A}">
  <dimension ref="A1:M31"/>
  <sheetViews>
    <sheetView zoomScale="85" zoomScaleNormal="85" workbookViewId="0">
      <selection activeCell="R18" sqref="R18"/>
    </sheetView>
  </sheetViews>
  <sheetFormatPr defaultRowHeight="15"/>
  <cols>
    <col min="1" max="1" width="23.28515625" customWidth="1"/>
    <col min="2" max="2" width="28.140625" customWidth="1"/>
    <col min="3" max="3" width="16" hidden="1" customWidth="1"/>
    <col min="4" max="4" width="16.28515625" hidden="1" customWidth="1"/>
    <col min="5" max="5" width="16" hidden="1" customWidth="1"/>
    <col min="6" max="6" width="16.28515625" hidden="1" customWidth="1"/>
    <col min="7" max="7" width="18" hidden="1" customWidth="1"/>
    <col min="8" max="8" width="11.85546875" bestFit="1" customWidth="1"/>
    <col min="9" max="9" width="19.28515625" bestFit="1" customWidth="1"/>
    <col min="10" max="10" width="18" bestFit="1" customWidth="1"/>
    <col min="11" max="11" width="17.85546875" bestFit="1" customWidth="1"/>
    <col min="12" max="12" width="16" bestFit="1" customWidth="1"/>
    <col min="13" max="13" width="14.85546875" bestFit="1" customWidth="1"/>
  </cols>
  <sheetData>
    <row r="1" spans="1:13" ht="60">
      <c r="A1" s="5" t="s">
        <v>1</v>
      </c>
      <c r="B1" s="5" t="s">
        <v>4</v>
      </c>
      <c r="C1" s="5" t="s">
        <v>45</v>
      </c>
      <c r="D1" s="5" t="s">
        <v>46</v>
      </c>
      <c r="E1" s="5" t="s">
        <v>57</v>
      </c>
      <c r="F1" s="5" t="s">
        <v>48</v>
      </c>
      <c r="G1" s="5" t="s">
        <v>58</v>
      </c>
      <c r="H1" s="6" t="s">
        <v>59</v>
      </c>
      <c r="I1" s="27" t="s">
        <v>51</v>
      </c>
      <c r="J1" s="7" t="s">
        <v>52</v>
      </c>
      <c r="K1" s="21" t="s">
        <v>53</v>
      </c>
      <c r="L1" s="5" t="s">
        <v>60</v>
      </c>
      <c r="M1" s="5" t="s">
        <v>61</v>
      </c>
    </row>
    <row r="2" spans="1:13">
      <c r="A2" s="9" t="s">
        <v>27</v>
      </c>
      <c r="B2" s="22" t="s">
        <v>18</v>
      </c>
      <c r="C2" s="10">
        <v>361.89154291140119</v>
      </c>
      <c r="D2" s="10">
        <v>2748.848629998216</v>
      </c>
      <c r="E2" s="10">
        <v>4.0067373666814836</v>
      </c>
      <c r="F2" s="10">
        <v>2744.8418926315348</v>
      </c>
      <c r="G2" s="9">
        <v>3106.7334355429361</v>
      </c>
      <c r="H2" s="29">
        <f>_xlfn.XLOOKUP(Table8[[#This Row],[Cultivo]],Table5[Cultivo],Table5[Rendimiento Potencial  (kg/ha)],"error",0,1)*0.75</f>
        <v>17035.62291914253</v>
      </c>
      <c r="I2" s="10">
        <f>Table8[[#This Row],[Disponible para consumo (Toneladas)]]*1000/Table8[[#This Row],[RR 75 (kg/ha)]]</f>
        <v>182.3668820499644</v>
      </c>
      <c r="J2" s="10">
        <f>Table8[[#This Row],[Producción Local (Toneladas)]]*1000/Table8[[#This Row],[RR 75 (kg/ha)]]</f>
        <v>21.243223369587042</v>
      </c>
      <c r="K2" s="10">
        <f>Table8[[#This Row],[Área Nec. para Satisfacer 
 Consumo Local Total (ha)]]-Table8[[#This Row],[Area local en produccion estimada (ha)]]</f>
        <v>161.12365868037736</v>
      </c>
      <c r="L2" s="9">
        <f>Table8[[#This Row],[Area local en produccion estimada (ha)]]/Table8[[#This Row],[Área Nec. para Satisfacer 
 Consumo Local Total (ha)]]*100</f>
        <v>11.648619053412823</v>
      </c>
      <c r="M2" s="9">
        <f>Table8[[#This Row],[Area adicional necesaria estimada (ha)]]/Table8[[#This Row],[Área Nec. para Satisfacer 
 Consumo Local Total (ha)]]*100</f>
        <v>88.35138094658717</v>
      </c>
    </row>
    <row r="3" spans="1:13">
      <c r="A3" s="9" t="s">
        <v>33</v>
      </c>
      <c r="B3" s="22" t="s">
        <v>20</v>
      </c>
      <c r="C3" s="10">
        <v>843.53161391381138</v>
      </c>
      <c r="D3" s="10">
        <v>126.86993676914844</v>
      </c>
      <c r="E3" s="10">
        <v>0</v>
      </c>
      <c r="F3" s="10">
        <v>126.86993676914844</v>
      </c>
      <c r="G3" s="9">
        <v>970.40155068295996</v>
      </c>
      <c r="H3" s="29">
        <f>_xlfn.XLOOKUP(Table8[[#This Row],[Cultivo]],Table5[Cultivo],Table5[Rendimiento Potencial  (kg/ha)],"error",0,1)*0.75</f>
        <v>30243.30723662128</v>
      </c>
      <c r="I3" s="10">
        <f>Table8[[#This Row],[Disponible para consumo (Toneladas)]]*1000/Table8[[#This Row],[RR 75 (kg/ha)]]</f>
        <v>32.086489188851395</v>
      </c>
      <c r="J3" s="10">
        <f>Table8[[#This Row],[Producción Local (Toneladas)]]*1000/Table8[[#This Row],[RR 75 (kg/ha)]]</f>
        <v>27.891513560804899</v>
      </c>
      <c r="K3" s="10">
        <f>Table8[[#This Row],[Área Nec. para Satisfacer 
 Consumo Local Total (ha)]]-Table8[[#This Row],[Area local en produccion estimada (ha)]]</f>
        <v>4.194975628046496</v>
      </c>
      <c r="L3" s="9">
        <f>Table8[[#This Row],[Area local en produccion estimada (ha)]]/Table8[[#This Row],[Área Nec. para Satisfacer 
 Consumo Local Total (ha)]]*100</f>
        <v>86.926037300758779</v>
      </c>
      <c r="M3" s="9">
        <f>Table8[[#This Row],[Area adicional necesaria estimada (ha)]]/Table8[[#This Row],[Área Nec. para Satisfacer 
 Consumo Local Total (ha)]]*100</f>
        <v>13.073962699241212</v>
      </c>
    </row>
    <row r="4" spans="1:13">
      <c r="A4" s="9" t="s">
        <v>17</v>
      </c>
      <c r="B4" s="22" t="s">
        <v>16</v>
      </c>
      <c r="C4" s="10">
        <v>317.45455755035641</v>
      </c>
      <c r="D4" s="9">
        <v>195.16590916650796</v>
      </c>
      <c r="E4" s="10">
        <v>0</v>
      </c>
      <c r="F4" s="10">
        <v>195.16590916650796</v>
      </c>
      <c r="G4" s="9">
        <v>512.62046671686437</v>
      </c>
      <c r="H4" s="29">
        <f>_xlfn.XLOOKUP(Table8[[#This Row],[Cultivo]],Table5[Cultivo],Table5[Rendimiento Potencial  (kg/ha)],"error",0,1)*0.75</f>
        <v>9072.9921709863847</v>
      </c>
      <c r="I4" s="10">
        <f>Table8[[#This Row],[Disponible para consumo (Toneladas)]]*1000/Table8[[#This Row],[RR 75 (kg/ha)]]</f>
        <v>56.499604216139652</v>
      </c>
      <c r="J4" s="10">
        <f>Table8[[#This Row],[Producción Local (Toneladas)]]*1000/Table8[[#This Row],[RR 75 (kg/ha)]]</f>
        <v>34.988959713369162</v>
      </c>
      <c r="K4" s="10">
        <f>Table8[[#This Row],[Área Nec. para Satisfacer 
 Consumo Local Total (ha)]]-Table8[[#This Row],[Area local en produccion estimada (ha)]]</f>
        <v>21.510644502770489</v>
      </c>
      <c r="L4" s="9">
        <f>Table8[[#This Row],[Area local en produccion estimada (ha)]]/Table8[[#This Row],[Área Nec. para Satisfacer 
 Consumo Local Total (ha)]]*100</f>
        <v>61.927796130250115</v>
      </c>
      <c r="M4" s="9">
        <f>Table8[[#This Row],[Area adicional necesaria estimada (ha)]]/Table8[[#This Row],[Área Nec. para Satisfacer 
 Consumo Local Total (ha)]]*100</f>
        <v>38.072203869749885</v>
      </c>
    </row>
    <row r="5" spans="1:13">
      <c r="A5" s="9" t="s">
        <v>19</v>
      </c>
      <c r="B5" s="22" t="s">
        <v>16</v>
      </c>
      <c r="C5" s="10">
        <v>551.44801976455517</v>
      </c>
      <c r="D5" s="9">
        <v>7108.224244238615</v>
      </c>
      <c r="E5" s="10">
        <v>0</v>
      </c>
      <c r="F5" s="10">
        <v>7108.224244238615</v>
      </c>
      <c r="G5" s="9">
        <v>7659.6722640031703</v>
      </c>
      <c r="H5" s="29">
        <f>_xlfn.XLOOKUP(Table8[[#This Row],[Cultivo]],Table5[Cultivo],Table5[Rendimiento Potencial  (kg/ha)],"error",0,1)*0.75</f>
        <v>15121.65361831064</v>
      </c>
      <c r="I5" s="10">
        <f>Table8[[#This Row],[Disponible para consumo (Toneladas)]]*1000/Table8[[#This Row],[RR 75 (kg/ha)]]</f>
        <v>506.53668291463572</v>
      </c>
      <c r="J5" s="10">
        <f>Table8[[#This Row],[Producción Local (Toneladas)]]*1000/Table8[[#This Row],[RR 75 (kg/ha)]]</f>
        <v>36.467441569803782</v>
      </c>
      <c r="K5" s="10">
        <f>Table8[[#This Row],[Área Nec. para Satisfacer 
 Consumo Local Total (ha)]]-Table8[[#This Row],[Area local en produccion estimada (ha)]]</f>
        <v>470.06924134483194</v>
      </c>
      <c r="L5" s="9">
        <f>Table8[[#This Row],[Area local en produccion estimada (ha)]]/Table8[[#This Row],[Área Nec. para Satisfacer 
 Consumo Local Total (ha)]]*100</f>
        <v>7.1993683379392035</v>
      </c>
      <c r="M5" s="9">
        <f>Table8[[#This Row],[Area adicional necesaria estimada (ha)]]/Table8[[#This Row],[Área Nec. para Satisfacer 
 Consumo Local Total (ha)]]*100</f>
        <v>92.800631662060795</v>
      </c>
    </row>
    <row r="6" spans="1:13">
      <c r="A6" s="9" t="s">
        <v>34</v>
      </c>
      <c r="B6" s="22" t="s">
        <v>20</v>
      </c>
      <c r="C6" s="10">
        <v>908.21396279933367</v>
      </c>
      <c r="D6" s="9">
        <v>15.497757739051027</v>
      </c>
      <c r="E6" s="10">
        <v>0</v>
      </c>
      <c r="F6" s="10">
        <v>15.497757739051027</v>
      </c>
      <c r="G6" s="9">
        <v>923.71172053838472</v>
      </c>
      <c r="H6" s="29">
        <f>_xlfn.XLOOKUP(Table8[[#This Row],[Cultivo]],Table5[Cultivo],Table5[Rendimiento Potencial  (kg/ha)],"error",0,1)*0.75</f>
        <v>38035.711369759876</v>
      </c>
      <c r="I6" s="10">
        <f>Table8[[#This Row],[Disponible para consumo (Toneladas)]]*1000/Table8[[#This Row],[RR 75 (kg/ha)]]</f>
        <v>24.285380429949779</v>
      </c>
      <c r="J6" s="10">
        <f>Table8[[#This Row],[Producción Local (Toneladas)]]*1000/Table8[[#This Row],[RR 75 (kg/ha)]]</f>
        <v>23.877927613085348</v>
      </c>
      <c r="K6" s="10">
        <f>Table8[[#This Row],[Área Nec. para Satisfacer 
 Consumo Local Total (ha)]]-Table8[[#This Row],[Area local en produccion estimada (ha)]]</f>
        <v>0.40745281686443136</v>
      </c>
      <c r="L6" s="9">
        <f>Table8[[#This Row],[Area local en produccion estimada (ha)]]/Table8[[#This Row],[Área Nec. para Satisfacer 
 Consumo Local Total (ha)]]*100</f>
        <v>98.322230042721742</v>
      </c>
      <c r="M6" s="9">
        <f>Table8[[#This Row],[Area adicional necesaria estimada (ha)]]/Table8[[#This Row],[Área Nec. para Satisfacer 
 Consumo Local Total (ha)]]*100</f>
        <v>1.6777699572782603</v>
      </c>
    </row>
    <row r="7" spans="1:13">
      <c r="A7" s="9" t="s">
        <v>10</v>
      </c>
      <c r="B7" s="22" t="s">
        <v>10</v>
      </c>
      <c r="C7" s="10">
        <v>2686.4191258962242</v>
      </c>
      <c r="D7" s="9">
        <v>11655.931634476692</v>
      </c>
      <c r="E7" s="10">
        <v>338.15351398426941</v>
      </c>
      <c r="F7" s="10">
        <v>11317.778120492421</v>
      </c>
      <c r="G7" s="9">
        <v>14004.197246388645</v>
      </c>
      <c r="H7" s="29">
        <f>_xlfn.XLOOKUP(Table8[[#This Row],[Cultivo]],Table5[Cultivo],Table5[Rendimiento Potencial  (kg/ha)],"error",0,1)*0.75</f>
        <v>1036.9133909698726</v>
      </c>
      <c r="I7" s="10">
        <f>Table8[[#This Row],[Disponible para consumo (Toneladas)]]*1000/Table8[[#This Row],[RR 75 (kg/ha)]]</f>
        <v>13505.657626130065</v>
      </c>
      <c r="J7" s="10">
        <f>Table8[[#This Row],[Producción Local (Toneladas)]]*1000/Table8[[#This Row],[RR 75 (kg/ha)]]</f>
        <v>2590.7844852726739</v>
      </c>
      <c r="K7" s="10">
        <f>Table8[[#This Row],[Área Nec. para Satisfacer 
 Consumo Local Total (ha)]]-Table8[[#This Row],[Area local en produccion estimada (ha)]]</f>
        <v>10914.873140857391</v>
      </c>
      <c r="L7" s="9">
        <f>Table8[[#This Row],[Area local en produccion estimada (ha)]]/Table8[[#This Row],[Área Nec. para Satisfacer 
 Consumo Local Total (ha)]]*100</f>
        <v>19.182956928066609</v>
      </c>
      <c r="M7" s="9">
        <f>Table8[[#This Row],[Area adicional necesaria estimada (ha)]]/Table8[[#This Row],[Área Nec. para Satisfacer 
 Consumo Local Total (ha)]]*100</f>
        <v>80.817043071933398</v>
      </c>
    </row>
    <row r="8" spans="1:13">
      <c r="A8" s="9" t="s">
        <v>35</v>
      </c>
      <c r="B8" s="22" t="s">
        <v>20</v>
      </c>
      <c r="C8" s="10">
        <v>11744.200814652866</v>
      </c>
      <c r="D8" s="9">
        <v>880.52967556011163</v>
      </c>
      <c r="E8" s="10">
        <v>0</v>
      </c>
      <c r="F8" s="10">
        <v>880.52967556011163</v>
      </c>
      <c r="G8" s="9">
        <v>12624.730490212976</v>
      </c>
      <c r="H8" s="29">
        <f>_xlfn.XLOOKUP(Table8[[#This Row],[Cultivo]],Table5[Cultivo],Table5[Rendimiento Potencial  (kg/ha)],"error",0,1)*0.75</f>
        <v>27352.047064800292</v>
      </c>
      <c r="I8" s="10">
        <f>Table8[[#This Row],[Disponible para consumo (Toneladas)]]*1000/Table8[[#This Row],[RR 75 (kg/ha)]]</f>
        <v>461.56437433379193</v>
      </c>
      <c r="J8" s="10">
        <f>Table8[[#This Row],[Producción Local (Toneladas)]]*1000/Table8[[#This Row],[RR 75 (kg/ha)]]</f>
        <v>429.37191453456632</v>
      </c>
      <c r="K8" s="10">
        <f>Table8[[#This Row],[Área Nec. para Satisfacer 
 Consumo Local Total (ha)]]-Table8[[#This Row],[Area local en produccion estimada (ha)]]</f>
        <v>32.192459799225617</v>
      </c>
      <c r="L8" s="9">
        <f>Table8[[#This Row],[Area local en produccion estimada (ha)]]/Table8[[#This Row],[Área Nec. para Satisfacer 
 Consumo Local Total (ha)]]*100</f>
        <v>93.025358630485457</v>
      </c>
      <c r="M8" s="9">
        <f>Table8[[#This Row],[Area adicional necesaria estimada (ha)]]/Table8[[#This Row],[Área Nec. para Satisfacer 
 Consumo Local Total (ha)]]*100</f>
        <v>6.9746413695145435</v>
      </c>
    </row>
    <row r="9" spans="1:13">
      <c r="A9" s="3" t="s">
        <v>11</v>
      </c>
      <c r="B9" s="22" t="s">
        <v>12</v>
      </c>
      <c r="C9" s="2">
        <v>6260.0357431212642</v>
      </c>
      <c r="D9" s="8">
        <v>53893.429857904463</v>
      </c>
      <c r="E9" s="2">
        <v>154.40302637189177</v>
      </c>
      <c r="F9" s="2">
        <v>53739.026831532574</v>
      </c>
      <c r="G9" s="8">
        <v>59999.062574653835</v>
      </c>
      <c r="H9" s="29">
        <f>_xlfn.XLOOKUP(Table8[[#This Row],[Cultivo]],Table5[Cultivo],Table5[Rendimiento Potencial  (kg/ha)],"error",0,1)*0.75</f>
        <v>587.58425488292767</v>
      </c>
      <c r="I9" s="10">
        <f>Table8[[#This Row],[Disponible para consumo (Toneladas)]]*1000/Table8[[#This Row],[RR 75 (kg/ha)]]</f>
        <v>102111.41989604241</v>
      </c>
      <c r="J9" s="10">
        <f>Table8[[#This Row],[Producción Local (Toneladas)]]*1000/Table8[[#This Row],[RR 75 (kg/ha)]]</f>
        <v>10653.852092017911</v>
      </c>
      <c r="K9" s="10">
        <f>Table8[[#This Row],[Área Nec. para Satisfacer 
 Consumo Local Total (ha)]]-Table8[[#This Row],[Area local en produccion estimada (ha)]]</f>
        <v>91457.567804024497</v>
      </c>
      <c r="L9" s="9">
        <f>Table8[[#This Row],[Area local en produccion estimada (ha)]]/Table8[[#This Row],[Área Nec. para Satisfacer 
 Consumo Local Total (ha)]]*100</f>
        <v>10.433555916531553</v>
      </c>
      <c r="M9" s="9">
        <f>Table8[[#This Row],[Area adicional necesaria estimada (ha)]]/Table8[[#This Row],[Área Nec. para Satisfacer 
 Consumo Local Total (ha)]]*100</f>
        <v>89.56644408346844</v>
      </c>
    </row>
    <row r="10" spans="1:13">
      <c r="A10" s="9" t="s">
        <v>36</v>
      </c>
      <c r="B10" s="22" t="s">
        <v>20</v>
      </c>
      <c r="C10" s="10">
        <v>1227.4072931691935</v>
      </c>
      <c r="D10" s="9">
        <v>15558.161194824203</v>
      </c>
      <c r="E10" s="10">
        <v>10.326798571484732</v>
      </c>
      <c r="F10" s="10">
        <v>15547.834396252721</v>
      </c>
      <c r="G10" s="9">
        <v>16775.241689421913</v>
      </c>
      <c r="H10" s="29">
        <f>_xlfn.XLOOKUP(Table8[[#This Row],[Cultivo]],Table5[Cultivo],Table5[Rendimiento Potencial  (kg/ha)],"error",0,1)*0.75</f>
        <v>26160.460759677408</v>
      </c>
      <c r="I10" s="10">
        <f>Table8[[#This Row],[Disponible para consumo (Toneladas)]]*1000/Table8[[#This Row],[RR 75 (kg/ha)]]</f>
        <v>641.24412194140473</v>
      </c>
      <c r="J10" s="10">
        <f>Table8[[#This Row],[Producción Local (Toneladas)]]*1000/Table8[[#This Row],[RR 75 (kg/ha)]]</f>
        <v>46.918412655065524</v>
      </c>
      <c r="K10" s="10">
        <f>Table8[[#This Row],[Área Nec. para Satisfacer 
 Consumo Local Total (ha)]]-Table8[[#This Row],[Area local en produccion estimada (ha)]]</f>
        <v>594.32570928633925</v>
      </c>
      <c r="L10" s="9">
        <f>Table8[[#This Row],[Area local en produccion estimada (ha)]]/Table8[[#This Row],[Área Nec. para Satisfacer 
 Consumo Local Total (ha)]]*100</f>
        <v>7.3167785948691808</v>
      </c>
      <c r="M10" s="9">
        <f>Table8[[#This Row],[Area adicional necesaria estimada (ha)]]/Table8[[#This Row],[Área Nec. para Satisfacer 
 Consumo Local Total (ha)]]*100</f>
        <v>92.683221405130823</v>
      </c>
    </row>
    <row r="11" spans="1:13">
      <c r="A11" s="9" t="s">
        <v>37</v>
      </c>
      <c r="B11" s="22" t="s">
        <v>20</v>
      </c>
      <c r="C11" s="10">
        <v>846.78236309810006</v>
      </c>
      <c r="D11" s="9">
        <v>267.12086436664828</v>
      </c>
      <c r="E11" s="10">
        <v>0</v>
      </c>
      <c r="F11" s="10">
        <v>267.12086436664828</v>
      </c>
      <c r="G11" s="9">
        <v>1113.9032274647484</v>
      </c>
      <c r="H11" s="29">
        <f>_xlfn.XLOOKUP(Table8[[#This Row],[Cultivo]],Table5[Cultivo],Table5[Rendimiento Potencial  (kg/ha)],"error",0,1)*0.75</f>
        <v>18749.986392212719</v>
      </c>
      <c r="I11" s="10">
        <f>Table8[[#This Row],[Disponible para consumo (Toneladas)]]*1000/Table8[[#This Row],[RR 75 (kg/ha)]]</f>
        <v>59.408215246885554</v>
      </c>
      <c r="J11" s="10">
        <f>Table8[[#This Row],[Producción Local (Toneladas)]]*1000/Table8[[#This Row],[RR 75 (kg/ha)]]</f>
        <v>45.161758807984384</v>
      </c>
      <c r="K11" s="10">
        <f>Table8[[#This Row],[Área Nec. para Satisfacer 
 Consumo Local Total (ha)]]-Table8[[#This Row],[Area local en produccion estimada (ha)]]</f>
        <v>14.24645643890117</v>
      </c>
      <c r="L11" s="9">
        <f>Table8[[#This Row],[Area local en produccion estimada (ha)]]/Table8[[#This Row],[Área Nec. para Satisfacer 
 Consumo Local Total (ha)]]*100</f>
        <v>76.019383212075141</v>
      </c>
      <c r="M11" s="9">
        <f>Table8[[#This Row],[Area adicional necesaria estimada (ha)]]/Table8[[#This Row],[Área Nec. para Satisfacer 
 Consumo Local Total (ha)]]*100</f>
        <v>23.980616787924856</v>
      </c>
    </row>
    <row r="12" spans="1:13">
      <c r="A12" s="9" t="s">
        <v>28</v>
      </c>
      <c r="B12" s="22" t="s">
        <v>18</v>
      </c>
      <c r="C12" s="10">
        <v>11319.804168821232</v>
      </c>
      <c r="D12" s="9">
        <v>6638.8916608455584</v>
      </c>
      <c r="E12" s="10">
        <v>38.419319429198687</v>
      </c>
      <c r="F12" s="10">
        <v>6600.47234141636</v>
      </c>
      <c r="G12" s="9">
        <v>17920.276510237592</v>
      </c>
      <c r="H12" s="29">
        <f>_xlfn.XLOOKUP(Table8[[#This Row],[Cultivo]],Table5[Cultivo],Table5[Rendimiento Potencial  (kg/ha)],"error",0,1)*0.75</f>
        <v>23952.699331404056</v>
      </c>
      <c r="I12" s="10">
        <f>Table8[[#This Row],[Disponible para consumo (Toneladas)]]*1000/Table8[[#This Row],[RR 75 (kg/ha)]]</f>
        <v>748.15269303458274</v>
      </c>
      <c r="J12" s="10">
        <f>Table8[[#This Row],[Producción Local (Toneladas)]]*1000/Table8[[#This Row],[RR 75 (kg/ha)]]</f>
        <v>472.58991615946985</v>
      </c>
      <c r="K12" s="10">
        <f>Table8[[#This Row],[Área Nec. para Satisfacer 
 Consumo Local Total (ha)]]-Table8[[#This Row],[Area local en produccion estimada (ha)]]</f>
        <v>275.56277687511289</v>
      </c>
      <c r="L12" s="9">
        <f>Table8[[#This Row],[Area local en produccion estimada (ha)]]/Table8[[#This Row],[Área Nec. para Satisfacer 
 Consumo Local Total (ha)]]*100</f>
        <v>63.167575357190451</v>
      </c>
      <c r="M12" s="9">
        <f>Table8[[#This Row],[Area adicional necesaria estimada (ha)]]/Table8[[#This Row],[Área Nec. para Satisfacer 
 Consumo Local Total (ha)]]*100</f>
        <v>36.832424642809542</v>
      </c>
    </row>
    <row r="13" spans="1:13">
      <c r="A13" s="9" t="s">
        <v>13</v>
      </c>
      <c r="B13" s="22" t="s">
        <v>14</v>
      </c>
      <c r="C13" s="10">
        <v>1061.4678871339884</v>
      </c>
      <c r="D13" s="9">
        <v>30.315126113948594</v>
      </c>
      <c r="E13" s="10">
        <v>0</v>
      </c>
      <c r="F13" s="10">
        <v>30.315126113948594</v>
      </c>
      <c r="G13" s="9">
        <v>1091.7830132479369</v>
      </c>
      <c r="H13" s="29">
        <f>_xlfn.XLOOKUP(Table8[[#This Row],[Cultivo]],Table5[Cultivo],Table5[Rendimiento Potencial  (kg/ha)],"error",0,1)*0.75</f>
        <v>22694.138984269401</v>
      </c>
      <c r="I13" s="10">
        <f>Table8[[#This Row],[Disponible para consumo (Toneladas)]]*1000/Table8[[#This Row],[RR 75 (kg/ha)]]</f>
        <v>48.108589358896317</v>
      </c>
      <c r="J13" s="10">
        <f>Table8[[#This Row],[Producción Local (Toneladas)]]*1000/Table8[[#This Row],[RR 75 (kg/ha)]]</f>
        <v>46.772776348543211</v>
      </c>
      <c r="K13" s="10">
        <f>Table8[[#This Row],[Área Nec. para Satisfacer 
 Consumo Local Total (ha)]]-Table8[[#This Row],[Area local en produccion estimada (ha)]]</f>
        <v>1.3358130103531067</v>
      </c>
      <c r="L13" s="9">
        <f>Table8[[#This Row],[Area local en produccion estimada (ha)]]/Table8[[#This Row],[Área Nec. para Satisfacer 
 Consumo Local Total (ha)]]*100</f>
        <v>97.223337811076178</v>
      </c>
      <c r="M13" s="9">
        <f>Table8[[#This Row],[Area adicional necesaria estimada (ha)]]/Table8[[#This Row],[Área Nec. para Satisfacer 
 Consumo Local Total (ha)]]*100</f>
        <v>2.776662188923829</v>
      </c>
    </row>
    <row r="14" spans="1:13">
      <c r="A14" s="9" t="s">
        <v>38</v>
      </c>
      <c r="B14" s="22" t="s">
        <v>20</v>
      </c>
      <c r="C14" s="10">
        <v>168.90287971018438</v>
      </c>
      <c r="D14" s="9">
        <v>157.0036257193228</v>
      </c>
      <c r="E14" s="10">
        <v>0</v>
      </c>
      <c r="F14" s="10">
        <v>157.0036257193228</v>
      </c>
      <c r="G14" s="9">
        <v>325.90650542950715</v>
      </c>
      <c r="H14" s="29">
        <f>_xlfn.XLOOKUP(Table8[[#This Row],[Cultivo]],Table5[Cultivo],Table5[Rendimiento Potencial  (kg/ha)],"error",0,1)*0.75</f>
        <v>1469.8247316997945</v>
      </c>
      <c r="I14" s="10">
        <f>Table8[[#This Row],[Disponible para consumo (Toneladas)]]*1000/Table8[[#This Row],[RR 75 (kg/ha)]]</f>
        <v>221.73154281640717</v>
      </c>
      <c r="J14" s="10">
        <f>Table8[[#This Row],[Producción Local (Toneladas)]]*1000/Table8[[#This Row],[RR 75 (kg/ha)]]</f>
        <v>114.91361933667754</v>
      </c>
      <c r="K14" s="10">
        <f>Table8[[#This Row],[Área Nec. para Satisfacer 
 Consumo Local Total (ha)]]-Table8[[#This Row],[Area local en produccion estimada (ha)]]</f>
        <v>106.81792347972963</v>
      </c>
      <c r="L14" s="9">
        <f>Table8[[#This Row],[Area local en produccion estimada (ha)]]/Table8[[#This Row],[Área Nec. para Satisfacer 
 Consumo Local Total (ha)]]*100</f>
        <v>51.82556251449779</v>
      </c>
      <c r="M14" s="9">
        <f>Table8[[#This Row],[Area adicional necesaria estimada (ha)]]/Table8[[#This Row],[Área Nec. para Satisfacer 
 Consumo Local Total (ha)]]*100</f>
        <v>48.174437485502203</v>
      </c>
    </row>
    <row r="15" spans="1:13">
      <c r="A15" s="9" t="s">
        <v>39</v>
      </c>
      <c r="B15" s="22" t="s">
        <v>20</v>
      </c>
      <c r="C15" s="10">
        <v>45.10225496155045</v>
      </c>
      <c r="D15" s="9">
        <v>2274.5870036559591</v>
      </c>
      <c r="E15" s="10">
        <v>18.521710468621954</v>
      </c>
      <c r="F15" s="10">
        <v>2256.0652931873369</v>
      </c>
      <c r="G15" s="9">
        <v>2301.1675481488878</v>
      </c>
      <c r="H15" s="29">
        <f>_xlfn.XLOOKUP(Table8[[#This Row],[Cultivo]],Table5[Cultivo],Table5[Rendimiento Potencial  (kg/ha)],"error",0,1)*0.75</f>
        <v>4320.4724623744678</v>
      </c>
      <c r="I15" s="10">
        <f>Table8[[#This Row],[Disponible para consumo (Toneladas)]]*1000/Table8[[#This Row],[RR 75 (kg/ha)]]</f>
        <v>532.61942257217856</v>
      </c>
      <c r="J15" s="10">
        <f>Table8[[#This Row],[Producción Local (Toneladas)]]*1000/Table8[[#This Row],[RR 75 (kg/ha)]]</f>
        <v>10.439195100612425</v>
      </c>
      <c r="K15" s="10">
        <f>Table8[[#This Row],[Área Nec. para Satisfacer 
 Consumo Local Total (ha)]]-Table8[[#This Row],[Area local en produccion estimada (ha)]]</f>
        <v>522.18022747156613</v>
      </c>
      <c r="L15" s="9">
        <f>Table8[[#This Row],[Area local en produccion estimada (ha)]]/Table8[[#This Row],[Área Nec. para Satisfacer 
 Consumo Local Total (ha)]]*100</f>
        <v>1.959972666824358</v>
      </c>
      <c r="M15" s="9">
        <f>Table8[[#This Row],[Area adicional necesaria estimada (ha)]]/Table8[[#This Row],[Área Nec. para Satisfacer 
 Consumo Local Total (ha)]]*100</f>
        <v>98.040027333175644</v>
      </c>
    </row>
    <row r="16" spans="1:13">
      <c r="A16" s="9" t="s">
        <v>29</v>
      </c>
      <c r="B16" s="22" t="s">
        <v>18</v>
      </c>
      <c r="C16" s="10">
        <v>195.04495105732508</v>
      </c>
      <c r="D16" s="9">
        <v>2967.964244782926</v>
      </c>
      <c r="E16" s="10">
        <v>0</v>
      </c>
      <c r="F16" s="10">
        <v>2967.964244782926</v>
      </c>
      <c r="G16" s="9">
        <v>3163.0091958402513</v>
      </c>
      <c r="H16" s="29">
        <f>_xlfn.XLOOKUP(Table8[[#This Row],[Cultivo]],Table5[Cultivo],Table5[Rendimiento Potencial  (kg/ha)],"error",0,1)*0.75</f>
        <v>25663.606426504339</v>
      </c>
      <c r="I16" s="10">
        <f>Table8[[#This Row],[Disponible para consumo (Toneladas)]]*1000/Table8[[#This Row],[RR 75 (kg/ha)]]</f>
        <v>123.24881948678977</v>
      </c>
      <c r="J16" s="10">
        <f>Table8[[#This Row],[Producción Local (Toneladas)]]*1000/Table8[[#This Row],[RR 75 (kg/ha)]]</f>
        <v>7.6000600934984153</v>
      </c>
      <c r="K16" s="10">
        <f>Table8[[#This Row],[Área Nec. para Satisfacer 
 Consumo Local Total (ha)]]-Table8[[#This Row],[Area local en produccion estimada (ha)]]</f>
        <v>115.64875939329136</v>
      </c>
      <c r="L16" s="9">
        <f>Table8[[#This Row],[Area local en produccion estimada (ha)]]/Table8[[#This Row],[Área Nec. para Satisfacer 
 Consumo Local Total (ha)]]*100</f>
        <v>6.1664364211723877</v>
      </c>
      <c r="M16" s="9">
        <f>Table8[[#This Row],[Area adicional necesaria estimada (ha)]]/Table8[[#This Row],[Área Nec. para Satisfacer 
 Consumo Local Total (ha)]]*100</f>
        <v>93.833563578827622</v>
      </c>
    </row>
    <row r="17" spans="1:13">
      <c r="A17" s="9" t="s">
        <v>21</v>
      </c>
      <c r="B17" s="22" t="s">
        <v>16</v>
      </c>
      <c r="C17" s="10">
        <v>104.38684822478857</v>
      </c>
      <c r="D17" s="9">
        <v>5392.3881061891252</v>
      </c>
      <c r="E17" s="10">
        <v>0</v>
      </c>
      <c r="F17" s="10">
        <v>5392.3881061891252</v>
      </c>
      <c r="G17" s="9">
        <v>5496.7749544139133</v>
      </c>
      <c r="H17" s="29">
        <f>_xlfn.XLOOKUP(Table8[[#This Row],[Cultivo]],Table5[Cultivo],Table5[Rendimiento Potencial  (kg/ha)],"error",0,1)*0.75</f>
        <v>10801.18115593617</v>
      </c>
      <c r="I17" s="10">
        <f>Table8[[#This Row],[Disponible para consumo (Toneladas)]]*1000/Table8[[#This Row],[RR 75 (kg/ha)]]</f>
        <v>508.90498687664046</v>
      </c>
      <c r="J17" s="10">
        <f>Table8[[#This Row],[Producción Local (Toneladas)]]*1000/Table8[[#This Row],[RR 75 (kg/ha)]]</f>
        <v>9.6643919510061256</v>
      </c>
      <c r="K17" s="10">
        <f>Table8[[#This Row],[Área Nec. para Satisfacer 
 Consumo Local Total (ha)]]-Table8[[#This Row],[Area local en produccion estimada (ha)]]</f>
        <v>499.24059492563435</v>
      </c>
      <c r="L17" s="9">
        <f>Table8[[#This Row],[Area local en produccion estimada (ha)]]/Table8[[#This Row],[Área Nec. para Satisfacer 
 Consumo Local Total (ha)]]*100</f>
        <v>1.8990562482636455</v>
      </c>
      <c r="M17" s="9">
        <f>Table8[[#This Row],[Area adicional necesaria estimada (ha)]]/Table8[[#This Row],[Área Nec. para Satisfacer 
 Consumo Local Total (ha)]]*100</f>
        <v>98.100943751736352</v>
      </c>
    </row>
    <row r="18" spans="1:13">
      <c r="A18" s="9" t="s">
        <v>22</v>
      </c>
      <c r="B18" s="22" t="s">
        <v>16</v>
      </c>
      <c r="C18" s="10">
        <v>1718.3609873810456</v>
      </c>
      <c r="D18" s="9">
        <v>7572.7789823189487</v>
      </c>
      <c r="E18" s="10">
        <v>0</v>
      </c>
      <c r="F18" s="10">
        <v>7572.7789823189487</v>
      </c>
      <c r="G18" s="9">
        <v>9291.1401208976313</v>
      </c>
      <c r="H18" s="29">
        <f>_xlfn.XLOOKUP(Table8[[#This Row],[Cultivo]],Table5[Cultivo],Table5[Rendimiento Potencial  (kg/ha)],"error",0,1)*0.75</f>
        <v>12961.417387123405</v>
      </c>
      <c r="I18" s="25">
        <f>Table8[[#This Row],[Disponible para consumo (Toneladas)]]*1000/Table8[[#This Row],[RR 75 (kg/ha)]]</f>
        <v>716.83056284631095</v>
      </c>
      <c r="J18" s="26">
        <f>Table8[[#This Row],[Producción Local (Toneladas)]]*1000/Table8[[#This Row],[RR 75 (kg/ha)]]</f>
        <v>132.57508311461069</v>
      </c>
      <c r="K18" s="25">
        <f>Table8[[#This Row],[Área Nec. para Satisfacer 
 Consumo Local Total (ha)]]-Table8[[#This Row],[Area local en produccion estimada (ha)]]</f>
        <v>584.25547973170023</v>
      </c>
      <c r="L18" s="9">
        <f>Table8[[#This Row],[Area local en produccion estimada (ha)]]/Table8[[#This Row],[Área Nec. para Satisfacer 
 Consumo Local Total (ha)]]*100</f>
        <v>18.494619228872764</v>
      </c>
      <c r="M18" s="9">
        <f>Table8[[#This Row],[Area adicional necesaria estimada (ha)]]/Table8[[#This Row],[Área Nec. para Satisfacer 
 Consumo Local Total (ha)]]*100</f>
        <v>81.505380771127236</v>
      </c>
    </row>
    <row r="19" spans="1:13">
      <c r="A19" s="9" t="s">
        <v>30</v>
      </c>
      <c r="B19" s="22" t="s">
        <v>18</v>
      </c>
      <c r="C19" s="10">
        <v>7988.8597581442609</v>
      </c>
      <c r="D19" s="9">
        <v>310.84722083624393</v>
      </c>
      <c r="E19" s="10">
        <v>17.26677008585002</v>
      </c>
      <c r="F19" s="10">
        <v>293.58045075039388</v>
      </c>
      <c r="G19" s="9">
        <v>8282.4402088946554</v>
      </c>
      <c r="H19" s="29">
        <f>_xlfn.XLOOKUP(Table8[[#This Row],[Cultivo]],Table5[Cultivo],Table5[Rendimiento Potencial  (kg/ha)],"error",0,1)*0.75</f>
        <v>94778.204407108715</v>
      </c>
      <c r="I19" s="10">
        <f>Table8[[#This Row],[Disponible para consumo (Toneladas)]]*1000/Table8[[#This Row],[RR 75 (kg/ha)]]</f>
        <v>87.387604151249789</v>
      </c>
      <c r="J19" s="10">
        <f>Table8[[#This Row],[Producción Local (Toneladas)]]*1000/Table8[[#This Row],[RR 75 (kg/ha)]]</f>
        <v>84.290051791116937</v>
      </c>
      <c r="K19" s="10">
        <f>Table8[[#This Row],[Área Nec. para Satisfacer 
 Consumo Local Total (ha)]]-Table8[[#This Row],[Area local en produccion estimada (ha)]]</f>
        <v>3.0975523601328518</v>
      </c>
      <c r="L19" s="9">
        <f>Table8[[#This Row],[Area local en produccion estimada (ha)]]/Table8[[#This Row],[Área Nec. para Satisfacer 
 Consumo Local Total (ha)]]*100</f>
        <v>96.455387019454577</v>
      </c>
      <c r="M19" s="9">
        <f>Table8[[#This Row],[Area adicional necesaria estimada (ha)]]/Table8[[#This Row],[Área Nec. para Satisfacer 
 Consumo Local Total (ha)]]*100</f>
        <v>3.5446129805454238</v>
      </c>
    </row>
    <row r="20" spans="1:13">
      <c r="A20" s="9" t="s">
        <v>40</v>
      </c>
      <c r="B20" s="22" t="s">
        <v>20</v>
      </c>
      <c r="C20" s="10">
        <v>1402.4185573931111</v>
      </c>
      <c r="D20" s="9">
        <v>83.083101244961341</v>
      </c>
      <c r="E20" s="10">
        <v>0</v>
      </c>
      <c r="F20" s="10">
        <v>83.083101244961341</v>
      </c>
      <c r="G20" s="9">
        <v>1485.5016586380725</v>
      </c>
      <c r="H20" s="29">
        <f>_xlfn.XLOOKUP(Table8[[#This Row],[Cultivo]],Table5[Cultivo],Table5[Rendimiento Potencial  (kg/ha)],"error",0,1)*0.75</f>
        <v>38753.77389300651</v>
      </c>
      <c r="I20" s="10">
        <f>Table8[[#This Row],[Disponible para consumo (Toneladas)]]*1000/Table8[[#This Row],[RR 75 (kg/ha)]]</f>
        <v>38.331793510983594</v>
      </c>
      <c r="J20" s="10">
        <f>Table8[[#This Row],[Producción Local (Toneladas)]]*1000/Table8[[#This Row],[RR 75 (kg/ha)]]</f>
        <v>36.187922272163306</v>
      </c>
      <c r="K20" s="10">
        <f>Table8[[#This Row],[Área Nec. para Satisfacer 
 Consumo Local Total (ha)]]-Table8[[#This Row],[Area local en produccion estimada (ha)]]</f>
        <v>2.1438712388202887</v>
      </c>
      <c r="L20" s="9">
        <f>Table8[[#This Row],[Area local en produccion estimada (ha)]]/Table8[[#This Row],[Área Nec. para Satisfacer 
 Consumo Local Total (ha)]]*100</f>
        <v>94.407067756414833</v>
      </c>
      <c r="M20" s="9">
        <f>Table8[[#This Row],[Area adicional necesaria estimada (ha)]]/Table8[[#This Row],[Área Nec. para Satisfacer 
 Consumo Local Total (ha)]]*100</f>
        <v>5.5929322435851683</v>
      </c>
    </row>
    <row r="21" spans="1:13">
      <c r="A21" s="9" t="s">
        <v>41</v>
      </c>
      <c r="B21" s="22" t="s">
        <v>20</v>
      </c>
      <c r="C21" s="10">
        <v>2577.6173066862616</v>
      </c>
      <c r="D21" s="9">
        <v>4236.6333729471153</v>
      </c>
      <c r="E21" s="10">
        <v>12.79132004608504</v>
      </c>
      <c r="F21" s="10">
        <v>4223.84205290103</v>
      </c>
      <c r="G21" s="9">
        <v>6801.4593595872921</v>
      </c>
      <c r="H21" s="29">
        <f>_xlfn.XLOOKUP(Table8[[#This Row],[Cultivo]],Table5[Cultivo],Table5[Rendimiento Potencial  (kg/ha)],"error",0,1)*0.75</f>
        <v>29475.127232811097</v>
      </c>
      <c r="I21" s="10">
        <f>Table8[[#This Row],[Disponible para consumo (Toneladas)]]*1000/Table8[[#This Row],[RR 75 (kg/ha)]]</f>
        <v>230.7525021305438</v>
      </c>
      <c r="J21" s="10">
        <f>Table8[[#This Row],[Producción Local (Toneladas)]]*1000/Table8[[#This Row],[RR 75 (kg/ha)]]</f>
        <v>87.450591352050608</v>
      </c>
      <c r="K21" s="10">
        <f>Table8[[#This Row],[Área Nec. para Satisfacer 
 Consumo Local Total (ha)]]-Table8[[#This Row],[Area local en produccion estimada (ha)]]</f>
        <v>143.30191077849321</v>
      </c>
      <c r="L21" s="9">
        <f>Table8[[#This Row],[Area local en produccion estimada (ha)]]/Table8[[#This Row],[Área Nec. para Satisfacer 
 Consumo Local Total (ha)]]*100</f>
        <v>37.898003507921707</v>
      </c>
      <c r="M21" s="9">
        <f>Table8[[#This Row],[Area adicional necesaria estimada (ha)]]/Table8[[#This Row],[Área Nec. para Satisfacer 
 Consumo Local Total (ha)]]*100</f>
        <v>62.101996492078293</v>
      </c>
    </row>
    <row r="22" spans="1:13">
      <c r="A22" s="9" t="s">
        <v>31</v>
      </c>
      <c r="B22" s="22" t="s">
        <v>18</v>
      </c>
      <c r="C22" s="10">
        <v>5143.1388024542402</v>
      </c>
      <c r="D22" s="9">
        <v>3890.5722225750164</v>
      </c>
      <c r="E22" s="10">
        <v>29.135784549415927</v>
      </c>
      <c r="F22" s="10">
        <v>3861.4364380256011</v>
      </c>
      <c r="G22" s="9">
        <v>9004.5752404798423</v>
      </c>
      <c r="H22" s="29">
        <f>_xlfn.XLOOKUP(Table8[[#This Row],[Cultivo]],Table5[Cultivo],Table5[Rendimiento Potencial  (kg/ha)],"error",0,1)*0.75</f>
        <v>25922.83477424681</v>
      </c>
      <c r="I22" s="10">
        <f>Table8[[#This Row],[Disponible para consumo (Toneladas)]]*1000/Table8[[#This Row],[RR 75 (kg/ha)]]</f>
        <v>347.36074657334501</v>
      </c>
      <c r="J22" s="10">
        <f>Table8[[#This Row],[Producción Local (Toneladas)]]*1000/Table8[[#This Row],[RR 75 (kg/ha)]]</f>
        <v>198.4018664333625</v>
      </c>
      <c r="K22" s="10">
        <f>Table8[[#This Row],[Área Nec. para Satisfacer 
 Consumo Local Total (ha)]]-Table8[[#This Row],[Area local en produccion estimada (ha)]]</f>
        <v>148.95888013998251</v>
      </c>
      <c r="L22" s="9">
        <f>Table8[[#This Row],[Area local en produccion estimada (ha)]]/Table8[[#This Row],[Área Nec. para Satisfacer 
 Consumo Local Total (ha)]]*100</f>
        <v>57.116950717823855</v>
      </c>
      <c r="M22" s="9">
        <f>Table8[[#This Row],[Area adicional necesaria estimada (ha)]]/Table8[[#This Row],[Área Nec. para Satisfacer 
 Consumo Local Total (ha)]]*100</f>
        <v>42.883049282176138</v>
      </c>
    </row>
    <row r="23" spans="1:13">
      <c r="A23" s="9" t="s">
        <v>15</v>
      </c>
      <c r="B23" s="22" t="s">
        <v>14</v>
      </c>
      <c r="C23" s="10">
        <v>651.90372944090143</v>
      </c>
      <c r="D23" s="9">
        <v>0</v>
      </c>
      <c r="E23" s="10">
        <v>0</v>
      </c>
      <c r="F23" s="10">
        <v>0</v>
      </c>
      <c r="G23" s="9">
        <v>651.90372944090143</v>
      </c>
      <c r="H23" s="29">
        <f>_xlfn.XLOOKUP(Table8[[#This Row],[Cultivo]],Table5[Cultivo],Table5[Rendimiento Potencial  (kg/ha)],"error",0,1)*0.75</f>
        <v>13731.830769021421</v>
      </c>
      <c r="I23" s="10">
        <f>Table8[[#This Row],[Disponible para consumo (Toneladas)]]*1000/Table8[[#This Row],[RR 75 (kg/ha)]]</f>
        <v>47.473912284993766</v>
      </c>
      <c r="J23" s="10">
        <f>Table8[[#This Row],[Producción Local (Toneladas)]]*1000/Table8[[#This Row],[RR 75 (kg/ha)]]</f>
        <v>47.473912284993766</v>
      </c>
      <c r="K23" s="10">
        <f>Table8[[#This Row],[Área Nec. para Satisfacer 
 Consumo Local Total (ha)]]-Table8[[#This Row],[Area local en produccion estimada (ha)]]</f>
        <v>0</v>
      </c>
      <c r="L23" s="9">
        <f>Table8[[#This Row],[Area local en produccion estimada (ha)]]/Table8[[#This Row],[Área Nec. para Satisfacer 
 Consumo Local Total (ha)]]*100</f>
        <v>100</v>
      </c>
      <c r="M23" s="9">
        <f>Table8[[#This Row],[Area adicional necesaria estimada (ha)]]/Table8[[#This Row],[Área Nec. para Satisfacer 
 Consumo Local Total (ha)]]*100</f>
        <v>0</v>
      </c>
    </row>
    <row r="24" spans="1:13">
      <c r="A24" s="9" t="s">
        <v>42</v>
      </c>
      <c r="B24" s="22" t="s">
        <v>20</v>
      </c>
      <c r="C24" s="10">
        <v>207.77579204881872</v>
      </c>
      <c r="D24" s="9">
        <v>2822.3760406177335</v>
      </c>
      <c r="E24" s="10">
        <v>7.4540434783923475</v>
      </c>
      <c r="F24" s="10">
        <v>2814.9219971393413</v>
      </c>
      <c r="G24" s="9">
        <v>3022.6977891881597</v>
      </c>
      <c r="H24" s="29">
        <f>_xlfn.XLOOKUP(Table8[[#This Row],[Cultivo]],Table5[Cultivo],Table5[Rendimiento Potencial  (kg/ha)],"error",0,1)*0.75</f>
        <v>31625.858424581114</v>
      </c>
      <c r="I24" s="10">
        <f>Table8[[#This Row],[Disponible para consumo (Toneladas)]]*1000/Table8[[#This Row],[RR 75 (kg/ha)]]</f>
        <v>95.57678241039541</v>
      </c>
      <c r="J24" s="10">
        <f>Table8[[#This Row],[Producción Local (Toneladas)]]*1000/Table8[[#This Row],[RR 75 (kg/ha)]]</f>
        <v>6.569807189401871</v>
      </c>
      <c r="K24" s="10">
        <f>Table8[[#This Row],[Área Nec. para Satisfacer 
 Consumo Local Total (ha)]]-Table8[[#This Row],[Area local en produccion estimada (ha)]]</f>
        <v>89.006975220993539</v>
      </c>
      <c r="L24" s="9">
        <f>Table8[[#This Row],[Area local en produccion estimada (ha)]]/Table8[[#This Row],[Área Nec. para Satisfacer 
 Consumo Local Total (ha)]]*100</f>
        <v>6.8738526488492724</v>
      </c>
      <c r="M24" s="9">
        <f>Table8[[#This Row],[Area adicional necesaria estimada (ha)]]/Table8[[#This Row],[Área Nec. para Satisfacer 
 Consumo Local Total (ha)]]*100</f>
        <v>93.126147351150721</v>
      </c>
    </row>
    <row r="25" spans="1:13">
      <c r="A25" s="9" t="s">
        <v>32</v>
      </c>
      <c r="B25" s="22" t="s">
        <v>18</v>
      </c>
      <c r="C25" s="10">
        <v>8149.4921271390704</v>
      </c>
      <c r="D25" s="9">
        <v>2267.3899961595807</v>
      </c>
      <c r="E25" s="10">
        <v>199.11216747859802</v>
      </c>
      <c r="F25" s="10">
        <v>2068.2778286809826</v>
      </c>
      <c r="G25" s="9">
        <v>10217.769955820051</v>
      </c>
      <c r="H25" s="29">
        <f>_xlfn.XLOOKUP(Table8[[#This Row],[Cultivo]],Table5[Cultivo],Table5[Rendimiento Potencial  (kg/ha)],"error",0,1)*0.75</f>
        <v>38924.864602516544</v>
      </c>
      <c r="I25" s="10">
        <f>Table8[[#This Row],[Disponible para consumo (Toneladas)]]*1000/Table8[[#This Row],[RR 75 (kg/ha)]]</f>
        <v>262.49982010623256</v>
      </c>
      <c r="J25" s="10">
        <f>Table8[[#This Row],[Producción Local (Toneladas)]]*1000/Table8[[#This Row],[RR 75 (kg/ha)]]</f>
        <v>209.36468785076249</v>
      </c>
      <c r="K25" s="10">
        <f>Table8[[#This Row],[Área Nec. para Satisfacer 
 Consumo Local Total (ha)]]-Table8[[#This Row],[Area local en produccion estimada (ha)]]</f>
        <v>53.135132255470069</v>
      </c>
      <c r="L25" s="9">
        <f>Table8[[#This Row],[Area local en produccion estimada (ha)]]/Table8[[#This Row],[Área Nec. para Satisfacer 
 Consumo Local Total (ha)]]*100</f>
        <v>79.758030983043525</v>
      </c>
      <c r="M25" s="9">
        <f>Table8[[#This Row],[Area adicional necesaria estimada (ha)]]/Table8[[#This Row],[Área Nec. para Satisfacer 
 Consumo Local Total (ha)]]*100</f>
        <v>20.241969016956471</v>
      </c>
    </row>
    <row r="26" spans="1:13">
      <c r="A26" s="9" t="s">
        <v>43</v>
      </c>
      <c r="B26" s="22" t="s">
        <v>20</v>
      </c>
      <c r="C26" s="10">
        <v>17225.462891564082</v>
      </c>
      <c r="D26" s="9">
        <v>11978.451312849078</v>
      </c>
      <c r="E26" s="10">
        <v>1393.8002921138338</v>
      </c>
      <c r="F26" s="10">
        <v>10584.651020735246</v>
      </c>
      <c r="G26" s="9">
        <v>27810.113912299326</v>
      </c>
      <c r="H26" s="29">
        <f>_xlfn.XLOOKUP(Table8[[#This Row],[Cultivo]],Table5[Cultivo],Table5[Rendimiento Potencial  (kg/ha)],"error",0,1)*0.75</f>
        <v>63350.223621304351</v>
      </c>
      <c r="I26" s="10">
        <f>Table8[[#This Row],[Disponible para consumo (Toneladas)]]*1000/Table8[[#This Row],[RR 75 (kg/ha)]]</f>
        <v>438.98998807869924</v>
      </c>
      <c r="J26" s="10">
        <f>Table8[[#This Row],[Producción Local (Toneladas)]]*1000/Table8[[#This Row],[RR 75 (kg/ha)]]</f>
        <v>271.90847809053747</v>
      </c>
      <c r="K26" s="10">
        <f>Table8[[#This Row],[Área Nec. para Satisfacer 
 Consumo Local Total (ha)]]-Table8[[#This Row],[Area local en produccion estimada (ha)]]</f>
        <v>167.08150998816177</v>
      </c>
      <c r="L26" s="9">
        <f>Table8[[#This Row],[Area local en produccion estimada (ha)]]/Table8[[#This Row],[Área Nec. para Satisfacer 
 Consumo Local Total (ha)]]*100</f>
        <v>61.939562512708491</v>
      </c>
      <c r="M26" s="9">
        <f>Table8[[#This Row],[Area adicional necesaria estimada (ha)]]/Table8[[#This Row],[Área Nec. para Satisfacer 
 Consumo Local Total (ha)]]*100</f>
        <v>38.060437487291509</v>
      </c>
    </row>
    <row r="27" spans="1:13">
      <c r="A27" s="9" t="s">
        <v>24</v>
      </c>
      <c r="B27" s="22" t="s">
        <v>16</v>
      </c>
      <c r="C27" s="10">
        <v>758.6643805584032</v>
      </c>
      <c r="D27" s="9">
        <v>7083.1405563468243</v>
      </c>
      <c r="E27" s="10">
        <v>0</v>
      </c>
      <c r="F27" s="10">
        <v>7083.1405563468243</v>
      </c>
      <c r="G27" s="9">
        <v>7841.8049369052269</v>
      </c>
      <c r="H27" s="29">
        <f>_xlfn.XLOOKUP(Table8[[#This Row],[Cultivo]],Table5[Cultivo],Table5[Rendimiento Potencial  (kg/ha)],"error",0,1)*0.75</f>
        <v>11233.228402173618</v>
      </c>
      <c r="I27" s="25">
        <f>Table8[[#This Row],[Disponible para consumo (Toneladas)]]*1000/Table8[[#This Row],[RR 75 (kg/ha)]]</f>
        <v>698.09004643650314</v>
      </c>
      <c r="J27" s="26">
        <f>Table8[[#This Row],[Producción Local (Toneladas)]]*1000/Table8[[#This Row],[RR 75 (kg/ha)]]</f>
        <v>67.537519348542972</v>
      </c>
      <c r="K27" s="25">
        <f>Table8[[#This Row],[Área Nec. para Satisfacer 
 Consumo Local Total (ha)]]-Table8[[#This Row],[Area local en produccion estimada (ha)]]</f>
        <v>630.55252708796013</v>
      </c>
      <c r="L27" s="9">
        <f>Table8[[#This Row],[Area local en produccion estimada (ha)]]/Table8[[#This Row],[Área Nec. para Satisfacer 
 Consumo Local Total (ha)]]*100</f>
        <v>9.6746142841167195</v>
      </c>
      <c r="M27" s="9">
        <f>Table8[[#This Row],[Area adicional necesaria estimada (ha)]]/Table8[[#This Row],[Área Nec. para Satisfacer 
 Consumo Local Total (ha)]]*100</f>
        <v>90.325385715883272</v>
      </c>
    </row>
    <row r="28" spans="1:13">
      <c r="A28" s="9" t="s">
        <v>26</v>
      </c>
      <c r="B28" s="22" t="s">
        <v>16</v>
      </c>
      <c r="C28" s="10">
        <v>542.52735921232079</v>
      </c>
      <c r="D28" s="9">
        <v>2692.1343965551137</v>
      </c>
      <c r="E28" s="10">
        <v>0</v>
      </c>
      <c r="F28" s="10">
        <v>2692.1343965551137</v>
      </c>
      <c r="G28" s="9">
        <v>3234.661755767434</v>
      </c>
      <c r="H28" s="29">
        <f>_xlfn.XLOOKUP(Table8[[#This Row],[Cultivo]],Table5[Cultivo],Table5[Rendimiento Potencial  (kg/ha)],"error",0,1)*0.75</f>
        <v>13825.5118795983</v>
      </c>
      <c r="I28" s="25">
        <f>Table8[[#This Row],[Disponible para consumo (Toneladas)]]*1000/Table8[[#This Row],[RR 75 (kg/ha)]]</f>
        <v>233.96325459317583</v>
      </c>
      <c r="J28" s="26">
        <f>Table8[[#This Row],[Producción Local (Toneladas)]]*1000/Table8[[#This Row],[RR 75 (kg/ha)]]</f>
        <v>39.241032370953626</v>
      </c>
      <c r="K28" s="25">
        <f>Table8[[#This Row],[Área Nec. para Satisfacer 
 Consumo Local Total (ha)]]-Table8[[#This Row],[Area local en produccion estimada (ha)]]</f>
        <v>194.7222222222222</v>
      </c>
      <c r="L28" s="9">
        <f>Table8[[#This Row],[Area local en produccion estimada (ha)]]/Table8[[#This Row],[Área Nec. para Satisfacer 
 Consumo Local Total (ha)]]*100</f>
        <v>16.772305736294964</v>
      </c>
      <c r="M28" s="9">
        <f>Table8[[#This Row],[Area adicional necesaria estimada (ha)]]/Table8[[#This Row],[Área Nec. para Satisfacer 
 Consumo Local Total (ha)]]*100</f>
        <v>83.227694263705033</v>
      </c>
    </row>
    <row r="29" spans="1:13" ht="15.75" thickBot="1">
      <c r="K29" s="22"/>
    </row>
    <row r="30" spans="1:13">
      <c r="A30" s="17" t="s">
        <v>62</v>
      </c>
      <c r="B30" s="11"/>
      <c r="C30" s="12">
        <f>SUBTOTAL(1,Table8[Producción Local (Toneladas)])</f>
        <v>3148.4561377336554</v>
      </c>
      <c r="D30" s="12">
        <f>SUBTOTAL(1,Table8[Importación (Toneladas)])</f>
        <v>5661.0495064741162</v>
      </c>
      <c r="E30" s="12">
        <f>SUBTOTAL(1,Table8[Exportación (toneladas)])</f>
        <v>82.347832738678633</v>
      </c>
      <c r="F30" s="12">
        <f>SUBTOTAL(1,Table8[Importación Neta (Toneladas)])</f>
        <v>5578.7016737354379</v>
      </c>
      <c r="G30" s="12">
        <f>SUBTOTAL(1,Table8[Disponible para consumo (Toneladas)])</f>
        <v>8727.1578170690045</v>
      </c>
      <c r="H30" s="12">
        <f>SUBTOTAL(1,Table8[RR 75 (kg/ha)])</f>
        <v>23958.558431964593</v>
      </c>
      <c r="I30" s="12">
        <f>SUBTOTAL(1,Table8[Área Nec. para Satisfacer 
 Consumo Local Total (ha)])</f>
        <v>4554.1145311022983</v>
      </c>
      <c r="J30" s="12">
        <f>SUBTOTAL(1,Table8[Area local en produccion estimada (ha)])</f>
        <v>583.46439408159836</v>
      </c>
      <c r="K30" s="23">
        <f>SUBTOTAL(1,Table8[Area adicional necesaria estimada (ha)])</f>
        <v>3970.6501370206993</v>
      </c>
      <c r="L30" s="12">
        <f>SUBTOTAL(1,Table8[% area local en prod])</f>
        <v>47.171645168949489</v>
      </c>
      <c r="M30" s="13">
        <f>SUBTOTAL(1,Table8[% area adicional neccesaria])</f>
        <v>52.828354831050511</v>
      </c>
    </row>
    <row r="31" spans="1:13" ht="15.75" thickBot="1">
      <c r="A31" s="18" t="s">
        <v>63</v>
      </c>
      <c r="B31" s="14"/>
      <c r="C31" s="15">
        <f>SUBTOTAL(9,Table8[Producción Local (Toneladas)])</f>
        <v>85008.315718808692</v>
      </c>
      <c r="D31" s="15">
        <f>SUBTOTAL(9,Table8[Importación (Toneladas)])</f>
        <v>152848.33667480113</v>
      </c>
      <c r="E31" s="15">
        <f>SUBTOTAL(9,Table8[Exportación (toneladas)])</f>
        <v>2223.3914839443232</v>
      </c>
      <c r="F31" s="15">
        <f>SUBTOTAL(9,Table8[Importación Neta (Toneladas)])</f>
        <v>150624.94519085682</v>
      </c>
      <c r="G31" s="15">
        <f>SUBTOTAL(9,Table8[Disponible para consumo (Toneladas)])</f>
        <v>235633.26106086312</v>
      </c>
      <c r="H31" s="15">
        <f>SUBTOTAL(9,Table8[RR 75 (kg/ha)])</f>
        <v>646881.07766304398</v>
      </c>
      <c r="I31" s="15">
        <f>SUBTOTAL(9,Table8[Área Nec. para Satisfacer 
 Consumo Local Total (ha)])</f>
        <v>122961.09233976205</v>
      </c>
      <c r="J31" s="15">
        <f>SUBTOTAL(9,Table8[Area local en produccion estimada (ha)])</f>
        <v>15753.538640203155</v>
      </c>
      <c r="K31" s="24">
        <f>SUBTOTAL(9,Table8[Area adicional necesaria estimada (ha)])</f>
        <v>107207.55369955888</v>
      </c>
      <c r="L31" s="15">
        <f>SUBTOTAL(9,Table8[% area local en prod])</f>
        <v>1273.6344195616362</v>
      </c>
      <c r="M31" s="16">
        <f>SUBTOTAL(9,Table8[% area adicional neccesaria])</f>
        <v>1426.3655804383638</v>
      </c>
    </row>
  </sheetData>
  <sheetProtection algorithmName="SHA-512" hashValue="olfmYyepsBT+8XdklU2sQRjMQTXTTelN+K2Leke28IXSl6jSHXYijTy7dxFiEyX8YDuaDB979tgJIDKPRWtUhw==" saltValue="/JPJzRDqUMnrmY6kjbYrxg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07AB-FBB0-43C2-8EB4-BAA1CFB3FFBE}">
  <dimension ref="A1:M31"/>
  <sheetViews>
    <sheetView zoomScale="85" zoomScaleNormal="85" workbookViewId="0">
      <selection activeCell="R18" sqref="R18"/>
    </sheetView>
  </sheetViews>
  <sheetFormatPr defaultRowHeight="15"/>
  <cols>
    <col min="1" max="1" width="12.140625" bestFit="1" customWidth="1"/>
    <col min="2" max="2" width="22.85546875" customWidth="1"/>
    <col min="3" max="3" width="16.140625" hidden="1" customWidth="1"/>
    <col min="4" max="4" width="16.42578125" hidden="1" customWidth="1"/>
    <col min="5" max="5" width="16.28515625" hidden="1" customWidth="1"/>
    <col min="6" max="6" width="16.42578125" hidden="1" customWidth="1"/>
    <col min="7" max="7" width="16.140625" hidden="1" customWidth="1"/>
    <col min="8" max="8" width="11.85546875" bestFit="1" customWidth="1"/>
    <col min="9" max="9" width="19.28515625" bestFit="1" customWidth="1"/>
    <col min="10" max="10" width="18" bestFit="1" customWidth="1"/>
    <col min="11" max="11" width="18.28515625" bestFit="1" customWidth="1"/>
    <col min="12" max="12" width="17" bestFit="1" customWidth="1"/>
    <col min="13" max="13" width="18.28515625" bestFit="1" customWidth="1"/>
  </cols>
  <sheetData>
    <row r="1" spans="1:13" ht="60">
      <c r="A1" s="1" t="s">
        <v>1</v>
      </c>
      <c r="B1" s="1" t="s">
        <v>2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64</v>
      </c>
      <c r="I1" s="1" t="s">
        <v>51</v>
      </c>
      <c r="J1" s="4" t="s">
        <v>52</v>
      </c>
      <c r="K1" s="1" t="s">
        <v>53</v>
      </c>
      <c r="L1" s="1" t="s">
        <v>54</v>
      </c>
      <c r="M1" s="1" t="s">
        <v>55</v>
      </c>
    </row>
    <row r="2" spans="1:13">
      <c r="A2" s="26" t="s">
        <v>10</v>
      </c>
      <c r="B2" s="22" t="s">
        <v>10</v>
      </c>
      <c r="C2" s="28">
        <v>2686.4191258962242</v>
      </c>
      <c r="D2" s="28">
        <v>11655.931634476692</v>
      </c>
      <c r="E2" s="28">
        <v>338.15351398426941</v>
      </c>
      <c r="F2" s="28">
        <v>11317.778120492421</v>
      </c>
      <c r="G2" s="30">
        <v>14004.197246388645</v>
      </c>
      <c r="H2" s="28">
        <f>_xlfn.XLOOKUP(Table4[[#This Row],[Cultivo]],Table5[Cultivo],Table5[Rendimiento Potencial  (kg/ha)],"error",0,1)*0.5</f>
        <v>691.27559397991502</v>
      </c>
      <c r="I2" s="25">
        <f>Table4[[#This Row],[Disponible Para Consumo (Toneladas)]]*1000/Table4[[#This Row],[RR50  (kg/ha)]]</f>
        <v>20258.486439195098</v>
      </c>
      <c r="J2" s="28">
        <f>Table4[[#This Row],[Producción Local (Toneladas)]]*1000/Table4[[#This Row],[RR50  (kg/ha)]]</f>
        <v>3886.1767279090113</v>
      </c>
      <c r="K2" s="28">
        <f>Table4[[#This Row],[Área Nec. para Satisfacer 
 Consumo Local Total (ha)]]-Table4[[#This Row],[Area local en produccion estimada (ha)]]</f>
        <v>16372.309711286087</v>
      </c>
      <c r="L2" s="28">
        <f>Table4[[#This Row],[Area local en produccion estimada (ha)]]/Table4[[#This Row],[Área Nec. para Satisfacer 
 Consumo Local Total (ha)]]*100</f>
        <v>19.182956928066613</v>
      </c>
      <c r="M2" s="28">
        <f>Table4[[#This Row],[Area adicional necesaria estimada (ha)]]/Table4[[#This Row],[Área Nec. para Satisfacer 
 Consumo Local Total (ha)]]*100</f>
        <v>80.817043071933398</v>
      </c>
    </row>
    <row r="3" spans="1:13">
      <c r="A3" s="26" t="s">
        <v>11</v>
      </c>
      <c r="B3" s="22" t="s">
        <v>12</v>
      </c>
      <c r="C3" s="28">
        <v>6260.0357431212642</v>
      </c>
      <c r="D3" s="28">
        <v>53893.429857904463</v>
      </c>
      <c r="E3" s="28">
        <v>154.40302637189177</v>
      </c>
      <c r="F3" s="28">
        <v>53739.026831532574</v>
      </c>
      <c r="G3" s="28">
        <v>59999.062574653835</v>
      </c>
      <c r="H3" s="28">
        <f>_xlfn.XLOOKUP(Table4[[#This Row],[Cultivo]],Table5[Cultivo],Table5[Rendimiento Potencial  (kg/ha)],"error",0,1)*0.5</f>
        <v>391.72283658861846</v>
      </c>
      <c r="I3" s="28">
        <f>Table4[[#This Row],[Disponible Para Consumo (Toneladas)]]*1000/Table4[[#This Row],[RR50  (kg/ha)]]</f>
        <v>153167.1298440636</v>
      </c>
      <c r="J3" s="28">
        <f>Table4[[#This Row],[Producción Local (Toneladas)]]*1000/Table4[[#This Row],[RR50  (kg/ha)]]</f>
        <v>15980.778138026866</v>
      </c>
      <c r="K3" s="28">
        <f>Table4[[#This Row],[Área Nec. para Satisfacer 
 Consumo Local Total (ha)]]-Table4[[#This Row],[Area local en produccion estimada (ha)]]</f>
        <v>137186.35170603674</v>
      </c>
      <c r="L3" s="28">
        <f>Table4[[#This Row],[Area local en produccion estimada (ha)]]/Table4[[#This Row],[Área Nec. para Satisfacer 
 Consumo Local Total (ha)]]*100</f>
        <v>10.433555916531555</v>
      </c>
      <c r="M3" s="28">
        <f>Table4[[#This Row],[Area adicional necesaria estimada (ha)]]/Table4[[#This Row],[Área Nec. para Satisfacer 
 Consumo Local Total (ha)]]*100</f>
        <v>89.566444083468454</v>
      </c>
    </row>
    <row r="4" spans="1:13">
      <c r="A4" s="26" t="s">
        <v>13</v>
      </c>
      <c r="B4" s="22" t="s">
        <v>14</v>
      </c>
      <c r="C4" s="28">
        <v>1061.4678871339884</v>
      </c>
      <c r="D4" s="28">
        <v>30.315126113948594</v>
      </c>
      <c r="E4" s="28">
        <v>0</v>
      </c>
      <c r="F4" s="28">
        <v>30.315126113948594</v>
      </c>
      <c r="G4" s="28">
        <v>1091.7830132479369</v>
      </c>
      <c r="H4" s="28">
        <f>_xlfn.XLOOKUP(Table4[[#This Row],[Cultivo]],Table5[Cultivo],Table5[Rendimiento Potencial  (kg/ha)],"error",0,1)*0.5</f>
        <v>15129.425989512934</v>
      </c>
      <c r="I4" s="25">
        <f>Table4[[#This Row],[Disponible Para Consumo (Toneladas)]]*1000/Table4[[#This Row],[RR50  (kg/ha)]]</f>
        <v>72.162884038344473</v>
      </c>
      <c r="J4" s="28">
        <f>Table4[[#This Row],[Producción Local (Toneladas)]]*1000/Table4[[#This Row],[RR50  (kg/ha)]]</f>
        <v>70.15916452281482</v>
      </c>
      <c r="K4" s="28">
        <f>Table4[[#This Row],[Área Nec. para Satisfacer 
 Consumo Local Total (ha)]]-Table4[[#This Row],[Area local en produccion estimada (ha)]]</f>
        <v>2.003719515529653</v>
      </c>
      <c r="L4" s="28">
        <f>Table4[[#This Row],[Area local en produccion estimada (ha)]]/Table4[[#This Row],[Área Nec. para Satisfacer 
 Consumo Local Total (ha)]]*100</f>
        <v>97.223337811076178</v>
      </c>
      <c r="M4" s="28">
        <f>Table4[[#This Row],[Area adicional necesaria estimada (ha)]]/Table4[[#This Row],[Área Nec. para Satisfacer 
 Consumo Local Total (ha)]]*100</f>
        <v>2.7766621889238192</v>
      </c>
    </row>
    <row r="5" spans="1:13">
      <c r="A5" s="26" t="s">
        <v>15</v>
      </c>
      <c r="B5" s="22" t="s">
        <v>14</v>
      </c>
      <c r="C5" s="28">
        <v>651.90372944090143</v>
      </c>
      <c r="D5" s="28">
        <v>0</v>
      </c>
      <c r="E5" s="28">
        <v>0</v>
      </c>
      <c r="F5" s="28">
        <v>0</v>
      </c>
      <c r="G5" s="28">
        <v>651.90372944090143</v>
      </c>
      <c r="H5" s="28">
        <f>_xlfn.XLOOKUP(Table4[[#This Row],[Cultivo]],Table5[Cultivo],Table5[Rendimiento Potencial  (kg/ha)],"error",0,1)*0.5</f>
        <v>9154.5538460142798</v>
      </c>
      <c r="I5" s="25">
        <f>Table4[[#This Row],[Disponible Para Consumo (Toneladas)]]*1000/Table4[[#This Row],[RR50  (kg/ha)]]</f>
        <v>71.210868427490652</v>
      </c>
      <c r="J5" s="28">
        <f>Table4[[#This Row],[Producción Local (Toneladas)]]*1000/Table4[[#This Row],[RR50  (kg/ha)]]</f>
        <v>71.210868427490652</v>
      </c>
      <c r="K5" s="28">
        <f>Table4[[#This Row],[Área Nec. para Satisfacer 
 Consumo Local Total (ha)]]-Table4[[#This Row],[Area local en produccion estimada (ha)]]</f>
        <v>0</v>
      </c>
      <c r="L5" s="28">
        <f>Table4[[#This Row],[Area local en produccion estimada (ha)]]/Table4[[#This Row],[Área Nec. para Satisfacer 
 Consumo Local Total (ha)]]*100</f>
        <v>100</v>
      </c>
      <c r="M5" s="28">
        <f>Table4[[#This Row],[Area adicional necesaria estimada (ha)]]/Table4[[#This Row],[Área Nec. para Satisfacer 
 Consumo Local Total (ha)]]*100</f>
        <v>0</v>
      </c>
    </row>
    <row r="6" spans="1:13">
      <c r="A6" s="26" t="s">
        <v>17</v>
      </c>
      <c r="B6" s="22" t="s">
        <v>16</v>
      </c>
      <c r="C6" s="28">
        <v>317.45455755035641</v>
      </c>
      <c r="D6" s="28">
        <v>195.16590916650796</v>
      </c>
      <c r="E6" s="28">
        <v>0</v>
      </c>
      <c r="F6" s="28">
        <v>195.16590916650796</v>
      </c>
      <c r="G6" s="28">
        <v>512.62046671686437</v>
      </c>
      <c r="H6" s="28">
        <f>_xlfn.XLOOKUP(Table4[[#This Row],[Cultivo]],Table5[Cultivo],Table5[Rendimiento Potencial  (kg/ha)],"error",0,1)*0.5</f>
        <v>6048.6614473242562</v>
      </c>
      <c r="I6" s="28">
        <f>Table4[[#This Row],[Disponible Para Consumo (Toneladas)]]*1000/Table4[[#This Row],[RR50  (kg/ha)]]</f>
        <v>84.749406324209474</v>
      </c>
      <c r="J6" s="28">
        <f>Table4[[#This Row],[Producción Local (Toneladas)]]*1000/Table4[[#This Row],[RR50  (kg/ha)]]</f>
        <v>52.483439570053747</v>
      </c>
      <c r="K6" s="28">
        <f>Table4[[#This Row],[Área Nec. para Satisfacer 
 Consumo Local Total (ha)]]-Table4[[#This Row],[Area local en produccion estimada (ha)]]</f>
        <v>32.265966754155727</v>
      </c>
      <c r="L6" s="28">
        <f>Table4[[#This Row],[Area local en produccion estimada (ha)]]/Table4[[#This Row],[Área Nec. para Satisfacer 
 Consumo Local Total (ha)]]*100</f>
        <v>61.927796130250123</v>
      </c>
      <c r="M6" s="28">
        <f>Table4[[#This Row],[Area adicional necesaria estimada (ha)]]/Table4[[#This Row],[Área Nec. para Satisfacer 
 Consumo Local Total (ha)]]*100</f>
        <v>38.072203869749877</v>
      </c>
    </row>
    <row r="7" spans="1:13">
      <c r="A7" s="26" t="s">
        <v>19</v>
      </c>
      <c r="B7" s="22" t="s">
        <v>16</v>
      </c>
      <c r="C7" s="28">
        <v>551.44801976455517</v>
      </c>
      <c r="D7" s="28">
        <v>7108.224244238615</v>
      </c>
      <c r="E7" s="28">
        <v>0</v>
      </c>
      <c r="F7" s="28">
        <v>7108.224244238615</v>
      </c>
      <c r="G7" s="28">
        <v>7659.6722640031703</v>
      </c>
      <c r="H7" s="28">
        <f>_xlfn.XLOOKUP(Table4[[#This Row],[Cultivo]],Table5[Cultivo],Table5[Rendimiento Potencial  (kg/ha)],"error",0,1)*0.5</f>
        <v>10081.102412207094</v>
      </c>
      <c r="I7" s="28">
        <f>Table4[[#This Row],[Disponible Para Consumo (Toneladas)]]*1000/Table4[[#This Row],[RR50  (kg/ha)]]</f>
        <v>759.80502437195355</v>
      </c>
      <c r="J7" s="28">
        <f>Table4[[#This Row],[Producción Local (Toneladas)]]*1000/Table4[[#This Row],[RR50  (kg/ha)]]</f>
        <v>54.701162354705666</v>
      </c>
      <c r="K7" s="28">
        <f>Table4[[#This Row],[Área Nec. para Satisfacer 
 Consumo Local Total (ha)]]-Table4[[#This Row],[Area local en produccion estimada (ha)]]</f>
        <v>705.10386201724793</v>
      </c>
      <c r="L7" s="28">
        <f>Table4[[#This Row],[Area local en produccion estimada (ha)]]/Table4[[#This Row],[Área Nec. para Satisfacer 
 Consumo Local Total (ha)]]*100</f>
        <v>7.1993683379392017</v>
      </c>
      <c r="M7" s="28">
        <f>Table4[[#This Row],[Area adicional necesaria estimada (ha)]]/Table4[[#This Row],[Área Nec. para Satisfacer 
 Consumo Local Total (ha)]]*100</f>
        <v>92.800631662060809</v>
      </c>
    </row>
    <row r="8" spans="1:13">
      <c r="A8" s="26" t="s">
        <v>21</v>
      </c>
      <c r="B8" s="22" t="s">
        <v>16</v>
      </c>
      <c r="C8" s="28">
        <v>104.38684822478857</v>
      </c>
      <c r="D8" s="28">
        <v>5392.3881061891252</v>
      </c>
      <c r="E8" s="28">
        <v>0</v>
      </c>
      <c r="F8" s="28">
        <v>5392.3881061891252</v>
      </c>
      <c r="G8" s="28">
        <v>5496.7749544139133</v>
      </c>
      <c r="H8" s="28">
        <f>_xlfn.XLOOKUP(Table4[[#This Row],[Cultivo]],Table5[Cultivo],Table5[Rendimiento Potencial  (kg/ha)],"error",0,1)*0.5</f>
        <v>7200.7874372907809</v>
      </c>
      <c r="I8" s="28">
        <f>Table4[[#This Row],[Disponible Para Consumo (Toneladas)]]*1000/Table4[[#This Row],[RR50  (kg/ha)]]</f>
        <v>763.35748031496064</v>
      </c>
      <c r="J8" s="28">
        <f>Table4[[#This Row],[Producción Local (Toneladas)]]*1000/Table4[[#This Row],[RR50  (kg/ha)]]</f>
        <v>14.496587926509187</v>
      </c>
      <c r="K8" s="28">
        <f>Table4[[#This Row],[Área Nec. para Satisfacer 
 Consumo Local Total (ha)]]-Table4[[#This Row],[Area local en produccion estimada (ha)]]</f>
        <v>748.86089238845148</v>
      </c>
      <c r="L8" s="28">
        <f>Table4[[#This Row],[Area local en produccion estimada (ha)]]/Table4[[#This Row],[Área Nec. para Satisfacer 
 Consumo Local Total (ha)]]*100</f>
        <v>1.8990562482636455</v>
      </c>
      <c r="M8" s="28">
        <f>Table4[[#This Row],[Area adicional necesaria estimada (ha)]]/Table4[[#This Row],[Área Nec. para Satisfacer 
 Consumo Local Total (ha)]]*100</f>
        <v>98.100943751736352</v>
      </c>
    </row>
    <row r="9" spans="1:13">
      <c r="A9" s="26" t="s">
        <v>22</v>
      </c>
      <c r="B9" s="22" t="s">
        <v>16</v>
      </c>
      <c r="C9" s="28">
        <v>1718.3609873810456</v>
      </c>
      <c r="D9" s="28">
        <v>7572.7789823189487</v>
      </c>
      <c r="E9" s="28">
        <v>0</v>
      </c>
      <c r="F9" s="28">
        <v>7572.7789823189487</v>
      </c>
      <c r="G9" s="28">
        <v>9291.1401208976313</v>
      </c>
      <c r="H9" s="28">
        <f>_xlfn.XLOOKUP(Table4[[#This Row],[Cultivo]],Table5[Cultivo],Table5[Rendimiento Potencial  (kg/ha)],"error",0,1)*0.5</f>
        <v>8640.9449247489374</v>
      </c>
      <c r="I9" s="28">
        <f>Table4[[#This Row],[Disponible Para Consumo (Toneladas)]]*1000/Table4[[#This Row],[RR50  (kg/ha)]]</f>
        <v>1075.2458442694665</v>
      </c>
      <c r="J9" s="28">
        <f>Table4[[#This Row],[Producción Local (Toneladas)]]*1000/Table4[[#This Row],[RR50  (kg/ha)]]</f>
        <v>198.86262467191602</v>
      </c>
      <c r="K9" s="28">
        <f>Table4[[#This Row],[Área Nec. para Satisfacer 
 Consumo Local Total (ha)]]-Table4[[#This Row],[Area local en produccion estimada (ha)]]</f>
        <v>876.38321959755046</v>
      </c>
      <c r="L9" s="28">
        <f>Table4[[#This Row],[Area local en produccion estimada (ha)]]/Table4[[#This Row],[Área Nec. para Satisfacer 
 Consumo Local Total (ha)]]*100</f>
        <v>18.494619228872764</v>
      </c>
      <c r="M9" s="28">
        <f>Table4[[#This Row],[Area adicional necesaria estimada (ha)]]/Table4[[#This Row],[Área Nec. para Satisfacer 
 Consumo Local Total (ha)]]*100</f>
        <v>81.505380771127236</v>
      </c>
    </row>
    <row r="10" spans="1:13">
      <c r="A10" s="26" t="s">
        <v>24</v>
      </c>
      <c r="B10" s="22" t="s">
        <v>16</v>
      </c>
      <c r="C10" s="28">
        <v>758.6643805584032</v>
      </c>
      <c r="D10" s="28">
        <v>7083.1405563468243</v>
      </c>
      <c r="E10" s="28">
        <v>0</v>
      </c>
      <c r="F10" s="28">
        <v>7083.1405563468243</v>
      </c>
      <c r="G10" s="28">
        <v>7841.8049369052269</v>
      </c>
      <c r="H10" s="28">
        <f>_xlfn.XLOOKUP(Table4[[#This Row],[Cultivo]],Table5[Cultivo],Table5[Rendimiento Potencial  (kg/ha)],"error",0,1)*0.5</f>
        <v>7488.8189347824118</v>
      </c>
      <c r="I10" s="28">
        <f>Table4[[#This Row],[Disponible Para Consumo (Toneladas)]]*1000/Table4[[#This Row],[RR50  (kg/ha)]]</f>
        <v>1047.1350696547547</v>
      </c>
      <c r="J10" s="28">
        <f>Table4[[#This Row],[Producción Local (Toneladas)]]*1000/Table4[[#This Row],[RR50  (kg/ha)]]</f>
        <v>101.30627902281446</v>
      </c>
      <c r="K10" s="28">
        <f>Table4[[#This Row],[Área Nec. para Satisfacer 
 Consumo Local Total (ha)]]-Table4[[#This Row],[Area local en produccion estimada (ha)]]</f>
        <v>945.82879063194025</v>
      </c>
      <c r="L10" s="28">
        <f>Table4[[#This Row],[Area local en produccion estimada (ha)]]/Table4[[#This Row],[Área Nec. para Satisfacer 
 Consumo Local Total (ha)]]*100</f>
        <v>9.6746142841167195</v>
      </c>
      <c r="M10" s="28">
        <f>Table4[[#This Row],[Area adicional necesaria estimada (ha)]]/Table4[[#This Row],[Área Nec. para Satisfacer 
 Consumo Local Total (ha)]]*100</f>
        <v>90.325385715883272</v>
      </c>
    </row>
    <row r="11" spans="1:13">
      <c r="A11" s="26" t="s">
        <v>26</v>
      </c>
      <c r="B11" s="22" t="s">
        <v>16</v>
      </c>
      <c r="C11" s="28">
        <v>542.52735921232079</v>
      </c>
      <c r="D11" s="28">
        <v>2692.1343965551137</v>
      </c>
      <c r="E11" s="28">
        <v>0</v>
      </c>
      <c r="F11" s="28">
        <v>2692.1343965551137</v>
      </c>
      <c r="G11" s="28">
        <v>3234.661755767434</v>
      </c>
      <c r="H11" s="28">
        <f>_xlfn.XLOOKUP(Table4[[#This Row],[Cultivo]],Table5[Cultivo],Table5[Rendimiento Potencial  (kg/ha)],"error",0,1)*0.5</f>
        <v>9217.0079197321993</v>
      </c>
      <c r="I11" s="28">
        <f>Table4[[#This Row],[Disponible Para Consumo (Toneladas)]]*1000/Table4[[#This Row],[RR50  (kg/ha)]]</f>
        <v>350.94488188976379</v>
      </c>
      <c r="J11" s="28">
        <f>Table4[[#This Row],[Producción Local (Toneladas)]]*1000/Table4[[#This Row],[RR50  (kg/ha)]]</f>
        <v>58.861548556430442</v>
      </c>
      <c r="K11" s="28">
        <f>Table4[[#This Row],[Área Nec. para Satisfacer 
 Consumo Local Total (ha)]]-Table4[[#This Row],[Area local en produccion estimada (ha)]]</f>
        <v>292.08333333333337</v>
      </c>
      <c r="L11" s="28">
        <f>Table4[[#This Row],[Area local en produccion estimada (ha)]]/Table4[[#This Row],[Área Nec. para Satisfacer 
 Consumo Local Total (ha)]]*100</f>
        <v>16.772305736294964</v>
      </c>
      <c r="M11" s="28">
        <f>Table4[[#This Row],[Area adicional necesaria estimada (ha)]]/Table4[[#This Row],[Área Nec. para Satisfacer 
 Consumo Local Total (ha)]]*100</f>
        <v>83.227694263705047</v>
      </c>
    </row>
    <row r="12" spans="1:13">
      <c r="A12" s="26" t="s">
        <v>27</v>
      </c>
      <c r="B12" s="22" t="s">
        <v>18</v>
      </c>
      <c r="C12" s="28">
        <v>361.89154291140119</v>
      </c>
      <c r="D12" s="28">
        <v>2748.848629998216</v>
      </c>
      <c r="E12" s="28">
        <v>4.0067373666814836</v>
      </c>
      <c r="F12" s="28">
        <v>2744.841892631533</v>
      </c>
      <c r="G12" s="28">
        <v>3106.7334355429361</v>
      </c>
      <c r="H12" s="28">
        <f>_xlfn.XLOOKUP(Table4[[#This Row],[Cultivo]],Table5[Cultivo],Table5[Rendimiento Potencial  (kg/ha)],"error",0,1)*0.5</f>
        <v>11357.081946095019</v>
      </c>
      <c r="I12" s="28">
        <f>Table4[[#This Row],[Disponible Para Consumo (Toneladas)]]*1000/Table4[[#This Row],[RR50  (kg/ha)]]</f>
        <v>273.55032307494662</v>
      </c>
      <c r="J12" s="28">
        <f>Table4[[#This Row],[Producción Local (Toneladas)]]*1000/Table4[[#This Row],[RR50  (kg/ha)]]</f>
        <v>31.864835054380563</v>
      </c>
      <c r="K12" s="28">
        <f>Table4[[#This Row],[Área Nec. para Satisfacer 
 Consumo Local Total (ha)]]-Table4[[#This Row],[Area local en produccion estimada (ha)]]</f>
        <v>241.68548802056605</v>
      </c>
      <c r="L12" s="28">
        <f>Table4[[#This Row],[Area local en produccion estimada (ha)]]/Table4[[#This Row],[Área Nec. para Satisfacer 
 Consumo Local Total (ha)]]*100</f>
        <v>11.648619053412821</v>
      </c>
      <c r="M12" s="28">
        <f>Table4[[#This Row],[Area adicional necesaria estimada (ha)]]/Table4[[#This Row],[Área Nec. para Satisfacer 
 Consumo Local Total (ha)]]*100</f>
        <v>88.35138094658717</v>
      </c>
    </row>
    <row r="13" spans="1:13">
      <c r="A13" s="26" t="s">
        <v>28</v>
      </c>
      <c r="B13" s="22" t="s">
        <v>18</v>
      </c>
      <c r="C13" s="28">
        <v>11319.804168821232</v>
      </c>
      <c r="D13" s="28">
        <v>6638.8916608455584</v>
      </c>
      <c r="E13" s="28">
        <v>38.419319429198687</v>
      </c>
      <c r="F13" s="28">
        <v>6600.47234141636</v>
      </c>
      <c r="G13" s="30">
        <v>17920.276510237592</v>
      </c>
      <c r="H13" s="28">
        <f>_xlfn.XLOOKUP(Table4[[#This Row],[Cultivo]],Table5[Cultivo],Table5[Rendimiento Potencial  (kg/ha)],"error",0,1)*0.5</f>
        <v>15968.466220936038</v>
      </c>
      <c r="I13" s="28">
        <f>Table4[[#This Row],[Disponible Para Consumo (Toneladas)]]*1000/Table4[[#This Row],[RR50  (kg/ha)]]</f>
        <v>1122.2290395518739</v>
      </c>
      <c r="J13" s="28">
        <f>Table4[[#This Row],[Producción Local (Toneladas)]]*1000/Table4[[#This Row],[RR50  (kg/ha)]]</f>
        <v>708.88487423920481</v>
      </c>
      <c r="K13" s="28">
        <f>Table4[[#This Row],[Área Nec. para Satisfacer 
 Consumo Local Total (ha)]]-Table4[[#This Row],[Area local en produccion estimada (ha)]]</f>
        <v>413.34416531266913</v>
      </c>
      <c r="L13" s="28">
        <f>Table4[[#This Row],[Area local en produccion estimada (ha)]]/Table4[[#This Row],[Área Nec. para Satisfacer 
 Consumo Local Total (ha)]]*100</f>
        <v>63.167575357190465</v>
      </c>
      <c r="M13" s="28">
        <f>Table4[[#This Row],[Area adicional necesaria estimada (ha)]]/Table4[[#This Row],[Área Nec. para Satisfacer 
 Consumo Local Total (ha)]]*100</f>
        <v>36.832424642809528</v>
      </c>
    </row>
    <row r="14" spans="1:13">
      <c r="A14" s="26" t="s">
        <v>29</v>
      </c>
      <c r="B14" s="22" t="s">
        <v>18</v>
      </c>
      <c r="C14" s="28">
        <v>195.04495105732508</v>
      </c>
      <c r="D14" s="28">
        <v>2967.964244782926</v>
      </c>
      <c r="E14" s="28">
        <v>0</v>
      </c>
      <c r="F14" s="28">
        <v>2967.964244782926</v>
      </c>
      <c r="G14" s="28">
        <v>3163.0091958402513</v>
      </c>
      <c r="H14" s="28">
        <f>_xlfn.XLOOKUP(Table4[[#This Row],[Cultivo]],Table5[Cultivo],Table5[Rendimiento Potencial  (kg/ha)],"error",0,1)*0.5</f>
        <v>17109.070951002894</v>
      </c>
      <c r="I14" s="28">
        <f>Table4[[#This Row],[Disponible Para Consumo (Toneladas)]]*1000/Table4[[#This Row],[RR50  (kg/ha)]]</f>
        <v>184.87322923018465</v>
      </c>
      <c r="J14" s="28">
        <f>Table4[[#This Row],[Producción Local (Toneladas)]]*1000/Table4[[#This Row],[RR50  (kg/ha)]]</f>
        <v>11.400090140247622</v>
      </c>
      <c r="K14" s="28">
        <f>Table4[[#This Row],[Área Nec. para Satisfacer 
 Consumo Local Total (ha)]]-Table4[[#This Row],[Area local en produccion estimada (ha)]]</f>
        <v>173.47313908993704</v>
      </c>
      <c r="L14" s="28">
        <f>Table4[[#This Row],[Area local en produccion estimada (ha)]]/Table4[[#This Row],[Área Nec. para Satisfacer 
 Consumo Local Total (ha)]]*100</f>
        <v>6.1664364211723877</v>
      </c>
      <c r="M14" s="28">
        <f>Table4[[#This Row],[Area adicional necesaria estimada (ha)]]/Table4[[#This Row],[Área Nec. para Satisfacer 
 Consumo Local Total (ha)]]*100</f>
        <v>93.833563578827622</v>
      </c>
    </row>
    <row r="15" spans="1:13">
      <c r="A15" s="26" t="s">
        <v>30</v>
      </c>
      <c r="B15" s="22" t="s">
        <v>18</v>
      </c>
      <c r="C15" s="28">
        <v>7988.8597581442609</v>
      </c>
      <c r="D15" s="28">
        <v>310.84722083624393</v>
      </c>
      <c r="E15" s="28">
        <v>17.26677008585002</v>
      </c>
      <c r="F15" s="28">
        <v>293.58045075039388</v>
      </c>
      <c r="G15" s="28">
        <v>8282.4402088946554</v>
      </c>
      <c r="H15" s="28">
        <f>_xlfn.XLOOKUP(Table4[[#This Row],[Cultivo]],Table5[Cultivo],Table5[Rendimiento Potencial  (kg/ha)],"error",0,1)*0.5</f>
        <v>63185.469604739141</v>
      </c>
      <c r="I15" s="28">
        <f>Table4[[#This Row],[Disponible Para Consumo (Toneladas)]]*1000/Table4[[#This Row],[RR50  (kg/ha)]]</f>
        <v>131.08140622687469</v>
      </c>
      <c r="J15" s="28">
        <f>Table4[[#This Row],[Producción Local (Toneladas)]]*1000/Table4[[#This Row],[RR50  (kg/ha)]]</f>
        <v>126.43507768667541</v>
      </c>
      <c r="K15" s="28">
        <f>Table4[[#This Row],[Área Nec. para Satisfacer 
 Consumo Local Total (ha)]]-Table4[[#This Row],[Area local en produccion estimada (ha)]]</f>
        <v>4.6463285401992778</v>
      </c>
      <c r="L15" s="28">
        <f>Table4[[#This Row],[Area local en produccion estimada (ha)]]/Table4[[#This Row],[Área Nec. para Satisfacer 
 Consumo Local Total (ha)]]*100</f>
        <v>96.455387019454577</v>
      </c>
      <c r="M15" s="28">
        <f>Table4[[#This Row],[Area adicional necesaria estimada (ha)]]/Table4[[#This Row],[Área Nec. para Satisfacer 
 Consumo Local Total (ha)]]*100</f>
        <v>3.5446129805454238</v>
      </c>
    </row>
    <row r="16" spans="1:13">
      <c r="A16" s="26" t="s">
        <v>31</v>
      </c>
      <c r="B16" s="22" t="s">
        <v>18</v>
      </c>
      <c r="C16" s="28">
        <v>5143.1388024542402</v>
      </c>
      <c r="D16" s="28">
        <v>3890.5722225750164</v>
      </c>
      <c r="E16" s="28">
        <v>29.135784549415927</v>
      </c>
      <c r="F16" s="28">
        <v>3861.4364380256011</v>
      </c>
      <c r="G16" s="28">
        <v>9004.5752404798423</v>
      </c>
      <c r="H16" s="28">
        <f>_xlfn.XLOOKUP(Table4[[#This Row],[Cultivo]],Table5[Cultivo],Table5[Rendimiento Potencial  (kg/ha)],"error",0,1)*0.5</f>
        <v>17281.889849497875</v>
      </c>
      <c r="I16" s="28">
        <f>Table4[[#This Row],[Disponible Para Consumo (Toneladas)]]*1000/Table4[[#This Row],[RR50  (kg/ha)]]</f>
        <v>521.04111986001749</v>
      </c>
      <c r="J16" s="28">
        <f>Table4[[#This Row],[Producción Local (Toneladas)]]*1000/Table4[[#This Row],[RR50  (kg/ha)]]</f>
        <v>297.60279965004372</v>
      </c>
      <c r="K16" s="28">
        <f>Table4[[#This Row],[Área Nec. para Satisfacer 
 Consumo Local Total (ha)]]-Table4[[#This Row],[Area local en produccion estimada (ha)]]</f>
        <v>223.43832020997377</v>
      </c>
      <c r="L16" s="28">
        <f>Table4[[#This Row],[Area local en produccion estimada (ha)]]/Table4[[#This Row],[Área Nec. para Satisfacer 
 Consumo Local Total (ha)]]*100</f>
        <v>57.116950717823855</v>
      </c>
      <c r="M16" s="28">
        <f>Table4[[#This Row],[Area adicional necesaria estimada (ha)]]/Table4[[#This Row],[Área Nec. para Satisfacer 
 Consumo Local Total (ha)]]*100</f>
        <v>42.883049282176145</v>
      </c>
    </row>
    <row r="17" spans="1:13">
      <c r="A17" s="26" t="s">
        <v>32</v>
      </c>
      <c r="B17" s="22" t="s">
        <v>18</v>
      </c>
      <c r="C17" s="28">
        <v>8149.4921271390704</v>
      </c>
      <c r="D17" s="28">
        <v>2267.3899961595807</v>
      </c>
      <c r="E17" s="28">
        <v>199.11216747859802</v>
      </c>
      <c r="F17" s="28">
        <v>2068.2778286809826</v>
      </c>
      <c r="G17" s="28">
        <v>10217.769955820051</v>
      </c>
      <c r="H17" s="28">
        <f>_xlfn.XLOOKUP(Table4[[#This Row],[Cultivo]],Table5[Cultivo],Table5[Rendimiento Potencial  (kg/ha)],"error",0,1)*0.5</f>
        <v>25949.909735011028</v>
      </c>
      <c r="I17" s="28">
        <f>Table4[[#This Row],[Disponible Para Consumo (Toneladas)]]*1000/Table4[[#This Row],[RR50  (kg/ha)]]</f>
        <v>393.74973015934887</v>
      </c>
      <c r="J17" s="28">
        <f>Table4[[#This Row],[Producción Local (Toneladas)]]*1000/Table4[[#This Row],[RR50  (kg/ha)]]</f>
        <v>314.04703177614374</v>
      </c>
      <c r="K17" s="28">
        <f>Table4[[#This Row],[Área Nec. para Satisfacer 
 Consumo Local Total (ha)]]-Table4[[#This Row],[Area local en produccion estimada (ha)]]</f>
        <v>79.702698383205131</v>
      </c>
      <c r="L17" s="28">
        <f>Table4[[#This Row],[Area local en produccion estimada (ha)]]/Table4[[#This Row],[Área Nec. para Satisfacer 
 Consumo Local Total (ha)]]*100</f>
        <v>79.758030983043525</v>
      </c>
      <c r="M17" s="28">
        <f>Table4[[#This Row],[Area adicional necesaria estimada (ha)]]/Table4[[#This Row],[Área Nec. para Satisfacer 
 Consumo Local Total (ha)]]*100</f>
        <v>20.241969016956478</v>
      </c>
    </row>
    <row r="18" spans="1:13">
      <c r="A18" s="26" t="s">
        <v>33</v>
      </c>
      <c r="B18" s="22" t="s">
        <v>20</v>
      </c>
      <c r="C18" s="28">
        <v>843.53161391381138</v>
      </c>
      <c r="D18" s="28">
        <v>126.86993676914844</v>
      </c>
      <c r="E18" s="28">
        <v>0</v>
      </c>
      <c r="F18" s="28">
        <v>126.86993676914844</v>
      </c>
      <c r="G18" s="28">
        <v>970.40155068295996</v>
      </c>
      <c r="H18" s="28">
        <f>_xlfn.XLOOKUP(Table4[[#This Row],[Cultivo]],Table5[Cultivo],Table5[Rendimiento Potencial  (kg/ha)],"error",0,1)*0.5</f>
        <v>20162.204824414188</v>
      </c>
      <c r="I18" s="28">
        <f>Table4[[#This Row],[Disponible Para Consumo (Toneladas)]]*1000/Table4[[#This Row],[RR50  (kg/ha)]]</f>
        <v>48.129733783277096</v>
      </c>
      <c r="J18" s="28">
        <f>Table4[[#This Row],[Producción Local (Toneladas)]]*1000/Table4[[#This Row],[RR50  (kg/ha)]]</f>
        <v>41.837270341207351</v>
      </c>
      <c r="K18" s="28">
        <f>Table4[[#This Row],[Área Nec. para Satisfacer 
 Consumo Local Total (ha)]]-Table4[[#This Row],[Area local en produccion estimada (ha)]]</f>
        <v>6.2924634420697458</v>
      </c>
      <c r="L18" s="28">
        <f>Table4[[#This Row],[Area local en produccion estimada (ha)]]/Table4[[#This Row],[Área Nec. para Satisfacer 
 Consumo Local Total (ha)]]*100</f>
        <v>86.926037300758779</v>
      </c>
      <c r="M18" s="28">
        <f>Table4[[#This Row],[Area adicional necesaria estimada (ha)]]/Table4[[#This Row],[Área Nec. para Satisfacer 
 Consumo Local Total (ha)]]*100</f>
        <v>13.073962699241214</v>
      </c>
    </row>
    <row r="19" spans="1:13">
      <c r="A19" s="26" t="s">
        <v>34</v>
      </c>
      <c r="B19" s="22" t="s">
        <v>20</v>
      </c>
      <c r="C19" s="28">
        <v>908.21396279933367</v>
      </c>
      <c r="D19" s="28">
        <v>15.497757739051027</v>
      </c>
      <c r="E19" s="28">
        <v>0</v>
      </c>
      <c r="F19" s="28">
        <v>15.497757739051027</v>
      </c>
      <c r="G19" s="28">
        <v>923.71172053838472</v>
      </c>
      <c r="H19" s="28">
        <f>_xlfn.XLOOKUP(Table4[[#This Row],[Cultivo]],Table5[Cultivo],Table5[Rendimiento Potencial  (kg/ha)],"error",0,1)*0.5</f>
        <v>25357.140913173251</v>
      </c>
      <c r="I19" s="28">
        <f>Table4[[#This Row],[Disponible Para Consumo (Toneladas)]]*1000/Table4[[#This Row],[RR50  (kg/ha)]]</f>
        <v>36.428070644924667</v>
      </c>
      <c r="J19" s="28">
        <f>Table4[[#This Row],[Producción Local (Toneladas)]]*1000/Table4[[#This Row],[RR50  (kg/ha)]]</f>
        <v>35.816891419628021</v>
      </c>
      <c r="K19" s="28">
        <f>Table4[[#This Row],[Área Nec. para Satisfacer 
 Consumo Local Total (ha)]]-Table4[[#This Row],[Area local en produccion estimada (ha)]]</f>
        <v>0.61117922529664526</v>
      </c>
      <c r="L19" s="28">
        <f>Table4[[#This Row],[Area local en produccion estimada (ha)]]/Table4[[#This Row],[Área Nec. para Satisfacer 
 Consumo Local Total (ha)]]*100</f>
        <v>98.322230042721742</v>
      </c>
      <c r="M19" s="28">
        <f>Table4[[#This Row],[Area adicional necesaria estimada (ha)]]/Table4[[#This Row],[Área Nec. para Satisfacer 
 Consumo Local Total (ha)]]*100</f>
        <v>1.6777699572782554</v>
      </c>
    </row>
    <row r="20" spans="1:13">
      <c r="A20" s="26" t="s">
        <v>35</v>
      </c>
      <c r="B20" s="22" t="s">
        <v>20</v>
      </c>
      <c r="C20" s="28">
        <v>11744.200814652866</v>
      </c>
      <c r="D20" s="28">
        <v>880.52967556011163</v>
      </c>
      <c r="E20" s="28">
        <v>0</v>
      </c>
      <c r="F20" s="28">
        <v>880.52967556011163</v>
      </c>
      <c r="G20" s="28">
        <v>12624.730490212976</v>
      </c>
      <c r="H20" s="28">
        <f>_xlfn.XLOOKUP(Table4[[#This Row],[Cultivo]],Table5[Cultivo],Table5[Rendimiento Potencial  (kg/ha)],"error",0,1)*0.5</f>
        <v>18234.698043200195</v>
      </c>
      <c r="I20" s="28">
        <f>Table4[[#This Row],[Disponible Para Consumo (Toneladas)]]*1000/Table4[[#This Row],[RR50  (kg/ha)]]</f>
        <v>692.34656150068793</v>
      </c>
      <c r="J20" s="28">
        <f>Table4[[#This Row],[Producción Local (Toneladas)]]*1000/Table4[[#This Row],[RR50  (kg/ha)]]</f>
        <v>644.05787180184939</v>
      </c>
      <c r="K20" s="28">
        <f>Table4[[#This Row],[Área Nec. para Satisfacer 
 Consumo Local Total (ha)]]-Table4[[#This Row],[Area local en produccion estimada (ha)]]</f>
        <v>48.288689698838539</v>
      </c>
      <c r="L20" s="28">
        <f>Table4[[#This Row],[Area local en produccion estimada (ha)]]/Table4[[#This Row],[Área Nec. para Satisfacer 
 Consumo Local Total (ha)]]*100</f>
        <v>93.025358630485442</v>
      </c>
      <c r="M20" s="28">
        <f>Table4[[#This Row],[Area adicional necesaria estimada (ha)]]/Table4[[#This Row],[Área Nec. para Satisfacer 
 Consumo Local Total (ha)]]*100</f>
        <v>6.9746413695145586</v>
      </c>
    </row>
    <row r="21" spans="1:13">
      <c r="A21" s="26" t="s">
        <v>36</v>
      </c>
      <c r="B21" s="22" t="s">
        <v>20</v>
      </c>
      <c r="C21" s="28">
        <v>1227.4072931691935</v>
      </c>
      <c r="D21" s="28">
        <v>15558.161194824203</v>
      </c>
      <c r="E21" s="28">
        <v>10.326798571484732</v>
      </c>
      <c r="F21" s="28">
        <v>15547.834396252721</v>
      </c>
      <c r="G21" s="28">
        <v>16775.241689421913</v>
      </c>
      <c r="H21" s="28">
        <f>_xlfn.XLOOKUP(Table4[[#This Row],[Cultivo]],Table5[Cultivo],Table5[Rendimiento Potencial  (kg/ha)],"error",0,1)*0.5</f>
        <v>17440.307173118272</v>
      </c>
      <c r="I21" s="28">
        <f>Table4[[#This Row],[Disponible Para Consumo (Toneladas)]]*1000/Table4[[#This Row],[RR50  (kg/ha)]]</f>
        <v>961.86618291210709</v>
      </c>
      <c r="J21" s="28">
        <f>Table4[[#This Row],[Producción Local (Toneladas)]]*1000/Table4[[#This Row],[RR50  (kg/ha)]]</f>
        <v>70.377618982598278</v>
      </c>
      <c r="K21" s="28">
        <f>Table4[[#This Row],[Área Nec. para Satisfacer 
 Consumo Local Total (ha)]]-Table4[[#This Row],[Area local en produccion estimada (ha)]]</f>
        <v>891.48856392950881</v>
      </c>
      <c r="L21" s="28">
        <f>Table4[[#This Row],[Area local en produccion estimada (ha)]]/Table4[[#This Row],[Área Nec. para Satisfacer 
 Consumo Local Total (ha)]]*100</f>
        <v>7.316778594869179</v>
      </c>
      <c r="M21" s="28">
        <f>Table4[[#This Row],[Area adicional necesaria estimada (ha)]]/Table4[[#This Row],[Área Nec. para Satisfacer 
 Consumo Local Total (ha)]]*100</f>
        <v>92.683221405130823</v>
      </c>
    </row>
    <row r="22" spans="1:13">
      <c r="A22" s="26" t="s">
        <v>37</v>
      </c>
      <c r="B22" s="22" t="s">
        <v>20</v>
      </c>
      <c r="C22" s="28">
        <v>846.78236309810006</v>
      </c>
      <c r="D22" s="28">
        <v>267.12086436664828</v>
      </c>
      <c r="E22" s="28">
        <v>0</v>
      </c>
      <c r="F22" s="28">
        <v>267.12086436664828</v>
      </c>
      <c r="G22" s="28">
        <v>1113.9032274647484</v>
      </c>
      <c r="H22" s="28">
        <f>_xlfn.XLOOKUP(Table4[[#This Row],[Cultivo]],Table5[Cultivo],Table5[Rendimiento Potencial  (kg/ha)],"error",0,1)*0.5</f>
        <v>12499.990928141813</v>
      </c>
      <c r="I22" s="28">
        <f>Table4[[#This Row],[Disponible Para Consumo (Toneladas)]]*1000/Table4[[#This Row],[RR50  (kg/ha)]]</f>
        <v>89.112322870328327</v>
      </c>
      <c r="J22" s="28">
        <f>Table4[[#This Row],[Producción Local (Toneladas)]]*1000/Table4[[#This Row],[RR50  (kg/ha)]]</f>
        <v>67.742638211976569</v>
      </c>
      <c r="K22" s="28">
        <f>Table4[[#This Row],[Área Nec. para Satisfacer 
 Consumo Local Total (ha)]]-Table4[[#This Row],[Area local en produccion estimada (ha)]]</f>
        <v>21.369684658351758</v>
      </c>
      <c r="L22" s="28">
        <f>Table4[[#This Row],[Area local en produccion estimada (ha)]]/Table4[[#This Row],[Área Nec. para Satisfacer 
 Consumo Local Total (ha)]]*100</f>
        <v>76.019383212075141</v>
      </c>
      <c r="M22" s="28">
        <f>Table4[[#This Row],[Area adicional necesaria estimada (ha)]]/Table4[[#This Row],[Área Nec. para Satisfacer 
 Consumo Local Total (ha)]]*100</f>
        <v>23.980616787924859</v>
      </c>
    </row>
    <row r="23" spans="1:13">
      <c r="A23" s="26" t="s">
        <v>38</v>
      </c>
      <c r="B23" s="22" t="s">
        <v>20</v>
      </c>
      <c r="C23" s="28">
        <v>168.90287971018438</v>
      </c>
      <c r="D23" s="28">
        <v>157.0036257193228</v>
      </c>
      <c r="E23" s="28">
        <v>0</v>
      </c>
      <c r="F23" s="28">
        <v>157.0036257193228</v>
      </c>
      <c r="G23" s="28">
        <v>325.90650542950715</v>
      </c>
      <c r="H23" s="28">
        <f>_xlfn.XLOOKUP(Table4[[#This Row],[Cultivo]],Table5[Cultivo],Table5[Rendimiento Potencial  (kg/ha)],"error",0,1)*0.5</f>
        <v>979.88315446652962</v>
      </c>
      <c r="I23" s="28">
        <f>Table4[[#This Row],[Disponible Para Consumo (Toneladas)]]*1000/Table4[[#This Row],[RR50  (kg/ha)]]</f>
        <v>332.59731422461078</v>
      </c>
      <c r="J23" s="28">
        <f>Table4[[#This Row],[Producción Local (Toneladas)]]*1000/Table4[[#This Row],[RR50  (kg/ha)]]</f>
        <v>172.37042900501632</v>
      </c>
      <c r="K23" s="28">
        <f>Table4[[#This Row],[Área Nec. para Satisfacer 
 Consumo Local Total (ha)]]-Table4[[#This Row],[Area local en produccion estimada (ha)]]</f>
        <v>160.22688521959446</v>
      </c>
      <c r="L23" s="28">
        <f>Table4[[#This Row],[Area local en produccion estimada (ha)]]/Table4[[#This Row],[Área Nec. para Satisfacer 
 Consumo Local Total (ha)]]*100</f>
        <v>51.82556251449779</v>
      </c>
      <c r="M23" s="28">
        <f>Table4[[#This Row],[Area adicional necesaria estimada (ha)]]/Table4[[#This Row],[Área Nec. para Satisfacer 
 Consumo Local Total (ha)]]*100</f>
        <v>48.17443748550221</v>
      </c>
    </row>
    <row r="24" spans="1:13">
      <c r="A24" s="26" t="s">
        <v>39</v>
      </c>
      <c r="B24" s="22" t="s">
        <v>20</v>
      </c>
      <c r="C24" s="28">
        <v>45.10225496155045</v>
      </c>
      <c r="D24" s="28">
        <v>2274.5870036559591</v>
      </c>
      <c r="E24" s="28">
        <v>18.521710468621954</v>
      </c>
      <c r="F24" s="28">
        <v>2256.0652931873369</v>
      </c>
      <c r="G24" s="28">
        <v>2301.1675481488878</v>
      </c>
      <c r="H24" s="28">
        <f>_xlfn.XLOOKUP(Table4[[#This Row],[Cultivo]],Table5[Cultivo],Table5[Rendimiento Potencial  (kg/ha)],"error",0,1)*0.5</f>
        <v>2880.3149749163122</v>
      </c>
      <c r="I24" s="28">
        <f>Table4[[#This Row],[Disponible Para Consumo (Toneladas)]]*1000/Table4[[#This Row],[RR50  (kg/ha)]]</f>
        <v>798.92913385826785</v>
      </c>
      <c r="J24" s="28">
        <f>Table4[[#This Row],[Producción Local (Toneladas)]]*1000/Table4[[#This Row],[RR50  (kg/ha)]]</f>
        <v>15.658792650918636</v>
      </c>
      <c r="K24" s="28">
        <f>Table4[[#This Row],[Área Nec. para Satisfacer 
 Consumo Local Total (ha)]]-Table4[[#This Row],[Area local en produccion estimada (ha)]]</f>
        <v>783.27034120734925</v>
      </c>
      <c r="L24" s="28">
        <f>Table4[[#This Row],[Area local en produccion estimada (ha)]]/Table4[[#This Row],[Área Nec. para Satisfacer 
 Consumo Local Total (ha)]]*100</f>
        <v>1.959972666824358</v>
      </c>
      <c r="M24" s="28">
        <f>Table4[[#This Row],[Area adicional necesaria estimada (ha)]]/Table4[[#This Row],[Área Nec. para Satisfacer 
 Consumo Local Total (ha)]]*100</f>
        <v>98.040027333175644</v>
      </c>
    </row>
    <row r="25" spans="1:13">
      <c r="A25" s="26" t="s">
        <v>40</v>
      </c>
      <c r="B25" s="22" t="s">
        <v>20</v>
      </c>
      <c r="C25" s="28">
        <v>1402.4185573931111</v>
      </c>
      <c r="D25" s="28">
        <v>83.083101244961341</v>
      </c>
      <c r="E25" s="28">
        <v>0</v>
      </c>
      <c r="F25" s="28">
        <v>83.083101244961341</v>
      </c>
      <c r="G25" s="28">
        <v>1485.5016586380725</v>
      </c>
      <c r="H25" s="28">
        <f>_xlfn.XLOOKUP(Table4[[#This Row],[Cultivo]],Table5[Cultivo],Table5[Rendimiento Potencial  (kg/ha)],"error",0,1)*0.5</f>
        <v>25835.84926200434</v>
      </c>
      <c r="I25" s="28">
        <f>Table4[[#This Row],[Disponible Para Consumo (Toneladas)]]*1000/Table4[[#This Row],[RR50  (kg/ha)]]</f>
        <v>57.497690266475395</v>
      </c>
      <c r="J25" s="28">
        <f>Table4[[#This Row],[Producción Local (Toneladas)]]*1000/Table4[[#This Row],[RR50  (kg/ha)]]</f>
        <v>54.281883408244958</v>
      </c>
      <c r="K25" s="28">
        <f>Table4[[#This Row],[Área Nec. para Satisfacer 
 Consumo Local Total (ha)]]-Table4[[#This Row],[Area local en produccion estimada (ha)]]</f>
        <v>3.2158068582304367</v>
      </c>
      <c r="L25" s="28">
        <f>Table4[[#This Row],[Area local en produccion estimada (ha)]]/Table4[[#This Row],[Área Nec. para Satisfacer 
 Consumo Local Total (ha)]]*100</f>
        <v>94.407067756414833</v>
      </c>
      <c r="M25" s="28">
        <f>Table4[[#This Row],[Area adicional necesaria estimada (ha)]]/Table4[[#This Row],[Área Nec. para Satisfacer 
 Consumo Local Total (ha)]]*100</f>
        <v>5.5929322435851736</v>
      </c>
    </row>
    <row r="26" spans="1:13">
      <c r="A26" s="26" t="s">
        <v>41</v>
      </c>
      <c r="B26" s="22" t="s">
        <v>20</v>
      </c>
      <c r="C26" s="28">
        <v>2577.6173066862616</v>
      </c>
      <c r="D26" s="28">
        <v>4236.6333729471153</v>
      </c>
      <c r="E26" s="28">
        <v>12.79132004608504</v>
      </c>
      <c r="F26" s="28">
        <v>4223.84205290103</v>
      </c>
      <c r="G26" s="28">
        <v>6801.4593595872921</v>
      </c>
      <c r="H26" s="28">
        <f>_xlfn.XLOOKUP(Table4[[#This Row],[Cultivo]],Table5[Cultivo],Table5[Rendimiento Potencial  (kg/ha)],"error",0,1)*0.5</f>
        <v>19650.084821874065</v>
      </c>
      <c r="I26" s="28">
        <f>Table4[[#This Row],[Disponible Para Consumo (Toneladas)]]*1000/Table4[[#This Row],[RR50  (kg/ha)]]</f>
        <v>346.1287531958157</v>
      </c>
      <c r="J26" s="28">
        <f>Table4[[#This Row],[Producción Local (Toneladas)]]*1000/Table4[[#This Row],[RR50  (kg/ha)]]</f>
        <v>131.17588702807592</v>
      </c>
      <c r="K26" s="28">
        <f>Table4[[#This Row],[Área Nec. para Satisfacer 
 Consumo Local Total (ha)]]-Table4[[#This Row],[Area local en produccion estimada (ha)]]</f>
        <v>214.95286616773978</v>
      </c>
      <c r="L26" s="28">
        <f>Table4[[#This Row],[Area local en produccion estimada (ha)]]/Table4[[#This Row],[Área Nec. para Satisfacer 
 Consumo Local Total (ha)]]*100</f>
        <v>37.898003507921715</v>
      </c>
      <c r="M26" s="28">
        <f>Table4[[#This Row],[Area adicional necesaria estimada (ha)]]/Table4[[#This Row],[Área Nec. para Satisfacer 
 Consumo Local Total (ha)]]*100</f>
        <v>62.101996492078293</v>
      </c>
    </row>
    <row r="27" spans="1:13">
      <c r="A27" s="26" t="s">
        <v>42</v>
      </c>
      <c r="B27" s="22" t="s">
        <v>20</v>
      </c>
      <c r="C27" s="28">
        <v>207.77579204881872</v>
      </c>
      <c r="D27" s="28">
        <v>2822.3760406177335</v>
      </c>
      <c r="E27" s="28">
        <v>7.4540434783923475</v>
      </c>
      <c r="F27" s="28">
        <v>2814.9219971393413</v>
      </c>
      <c r="G27" s="28">
        <v>3022.6977891881597</v>
      </c>
      <c r="H27" s="28">
        <f>_xlfn.XLOOKUP(Table4[[#This Row],[Cultivo]],Table5[Cultivo],Table5[Rendimiento Potencial  (kg/ha)],"error",0,1)*0.5</f>
        <v>21083.905616387408</v>
      </c>
      <c r="I27" s="28">
        <f>Table4[[#This Row],[Disponible Para Consumo (Toneladas)]]*1000/Table4[[#This Row],[RR50  (kg/ha)]]</f>
        <v>143.36517361559311</v>
      </c>
      <c r="J27" s="28">
        <f>Table4[[#This Row],[Producción Local (Toneladas)]]*1000/Table4[[#This Row],[RR50  (kg/ha)]]</f>
        <v>9.8547107841028065</v>
      </c>
      <c r="K27" s="28">
        <f>Table4[[#This Row],[Área Nec. para Satisfacer 
 Consumo Local Total (ha)]]-Table4[[#This Row],[Area local en produccion estimada (ha)]]</f>
        <v>133.51046283149032</v>
      </c>
      <c r="L27" s="28">
        <f>Table4[[#This Row],[Area local en produccion estimada (ha)]]/Table4[[#This Row],[Área Nec. para Satisfacer 
 Consumo Local Total (ha)]]*100</f>
        <v>6.8738526488492742</v>
      </c>
      <c r="M27" s="28">
        <f>Table4[[#This Row],[Area adicional necesaria estimada (ha)]]/Table4[[#This Row],[Área Nec. para Satisfacer 
 Consumo Local Total (ha)]]*100</f>
        <v>93.126147351150735</v>
      </c>
    </row>
    <row r="28" spans="1:13">
      <c r="A28" s="26" t="s">
        <v>43</v>
      </c>
      <c r="B28" s="22" t="s">
        <v>20</v>
      </c>
      <c r="C28" s="28">
        <v>17225.462891564082</v>
      </c>
      <c r="D28" s="28">
        <v>11978.451312849078</v>
      </c>
      <c r="E28" s="28">
        <v>1393.8002921138338</v>
      </c>
      <c r="F28" s="28">
        <v>10584.651020735246</v>
      </c>
      <c r="G28" s="28">
        <v>27810.113912299326</v>
      </c>
      <c r="H28" s="28">
        <f>_xlfn.XLOOKUP(Table4[[#This Row],[Cultivo]],Table5[Cultivo],Table5[Rendimiento Potencial  (kg/ha)],"error",0,1)*0.5</f>
        <v>42233.482414202903</v>
      </c>
      <c r="I28" s="28">
        <f>Table4[[#This Row],[Disponible Para Consumo (Toneladas)]]*1000/Table4[[#This Row],[RR50  (kg/ha)]]</f>
        <v>658.48498211804883</v>
      </c>
      <c r="J28" s="28">
        <f>Table4[[#This Row],[Producción Local (Toneladas)]]*1000/Table4[[#This Row],[RR50  (kg/ha)]]</f>
        <v>407.86271713580618</v>
      </c>
      <c r="K28" s="28">
        <f>Table4[[#This Row],[Área Nec. para Satisfacer 
 Consumo Local Total (ha)]]-Table4[[#This Row],[Area local en produccion estimada (ha)]]</f>
        <v>250.62226498224265</v>
      </c>
      <c r="L28" s="28">
        <f>Table4[[#This Row],[Area local en produccion estimada (ha)]]/Table4[[#This Row],[Área Nec. para Satisfacer 
 Consumo Local Total (ha)]]*100</f>
        <v>61.939562512708491</v>
      </c>
      <c r="M28" s="28">
        <f>Table4[[#This Row],[Area adicional necesaria estimada (ha)]]/Table4[[#This Row],[Área Nec. para Satisfacer 
 Consumo Local Total (ha)]]*100</f>
        <v>38.060437487291509</v>
      </c>
    </row>
    <row r="29" spans="1:13" ht="15.75" thickBot="1">
      <c r="J29" s="19"/>
    </row>
    <row r="30" spans="1:13">
      <c r="A30" s="17" t="s">
        <v>62</v>
      </c>
      <c r="B30" s="11"/>
      <c r="C30" s="12">
        <f>SUBTOTAL(1,Table4[Producción Local (Toneladas)])</f>
        <v>3148.4561377336554</v>
      </c>
      <c r="D30" s="12">
        <f>SUBTOTAL(1,Table4[Importación (Toneladas)])</f>
        <v>5661.0495064741162</v>
      </c>
      <c r="E30" s="12">
        <f>SUBTOTAL(1,Table4[Exportación (Toneladas)])</f>
        <v>82.347832738678633</v>
      </c>
      <c r="F30" s="12">
        <f>SUBTOTAL(1,Table4[Importación Neta (Toneladas)])</f>
        <v>5578.7016737354379</v>
      </c>
      <c r="G30" s="12">
        <f>SUBTOTAL(1,Table4[Disponible Para Consumo (Toneladas)])</f>
        <v>8727.1578170690045</v>
      </c>
      <c r="H30" s="12">
        <f>SUBTOTAL(1,Table4[RR50  (kg/ha)])</f>
        <v>15972.372287976394</v>
      </c>
      <c r="I30" s="12">
        <f>SUBTOTAL(1,Table4[Área Nec. para Satisfacer 
 Consumo Local Total (ha)])</f>
        <v>6831.1717966534452</v>
      </c>
      <c r="J30" s="23">
        <f>SUBTOTAL(1,Table4[Area local en produccion estimada (ha)])</f>
        <v>875.19659112239742</v>
      </c>
      <c r="K30" s="12">
        <f>SUBTOTAL(1,Table4[Area adicional necesaria estimada (ha)])</f>
        <v>5955.9752055310491</v>
      </c>
      <c r="L30" s="12">
        <f>SUBTOTAL(1,Table4[Area local en prod. (%)])</f>
        <v>47.171645168949496</v>
      </c>
      <c r="M30" s="13">
        <f>SUBTOTAL(1,Table4[Area adicional neccesaria (%)])</f>
        <v>52.828354831050511</v>
      </c>
    </row>
    <row r="31" spans="1:13" ht="15.75" thickBot="1">
      <c r="A31" s="18" t="s">
        <v>63</v>
      </c>
      <c r="B31" s="14"/>
      <c r="C31" s="15">
        <f>SUBTOTAL(9,Table4[Producción Local (Toneladas)])</f>
        <v>85008.315718808692</v>
      </c>
      <c r="D31" s="15">
        <f>SUBTOTAL(9,Table4[Importación (Toneladas)])</f>
        <v>152848.33667480113</v>
      </c>
      <c r="E31" s="15">
        <f>SUBTOTAL(9,Table4[Exportación (Toneladas)])</f>
        <v>2223.3914839443232</v>
      </c>
      <c r="F31" s="15">
        <f>SUBTOTAL(9,Table4[Importación Neta (Toneladas)])</f>
        <v>150624.94519085682</v>
      </c>
      <c r="G31" s="15">
        <f>SUBTOTAL(9,Table4[Disponible Para Consumo (Toneladas)])</f>
        <v>235633.26106086312</v>
      </c>
      <c r="H31" s="15">
        <f>SUBTOTAL(9,Table4[RR50  (kg/ha)])</f>
        <v>431254.05177536263</v>
      </c>
      <c r="I31" s="15">
        <f>SUBTOTAL(9,Table4[Área Nec. para Satisfacer 
 Consumo Local Total (ha)])</f>
        <v>184441.63850964303</v>
      </c>
      <c r="J31" s="24">
        <f>SUBTOTAL(9,Table4[Area local en produccion estimada (ha)])</f>
        <v>23630.30796030473</v>
      </c>
      <c r="K31" s="15">
        <f>SUBTOTAL(9,Table4[Area adicional necesaria estimada (ha)])</f>
        <v>160811.33054933834</v>
      </c>
      <c r="L31" s="15">
        <f>SUBTOTAL(9,Table4[Area local en prod. (%)])</f>
        <v>1273.6344195616364</v>
      </c>
      <c r="M31" s="16">
        <f>SUBTOTAL(9,Table4[Area adicional neccesaria (%)])</f>
        <v>1426.3655804383638</v>
      </c>
    </row>
  </sheetData>
  <sheetProtection algorithmName="SHA-512" hashValue="rGaqKBkhGO86RD4rGZjedqLGXckRHuSBLwTnlwL/HUxM8xS5xyj7BVY5cGjESNamZIyf87ocd1Hu97MyBTKa3g==" saltValue="kkY8qvZA3246kEyoh/9kBg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4FC5B7D3A725488B81011A3E4A6367" ma:contentTypeVersion="6" ma:contentTypeDescription="Create a new document." ma:contentTypeScope="" ma:versionID="71b53f3ce62caedcaf54de852fa96f7d">
  <xsd:schema xmlns:xsd="http://www.w3.org/2001/XMLSchema" xmlns:xs="http://www.w3.org/2001/XMLSchema" xmlns:p="http://schemas.microsoft.com/office/2006/metadata/properties" xmlns:ns2="86f95c67-ddbc-48f0-832c-fb9c6085520f" xmlns:ns3="8ba718bc-0ae0-4f51-a9d0-546bfafaa0b9" targetNamespace="http://schemas.microsoft.com/office/2006/metadata/properties" ma:root="true" ma:fieldsID="43a7bdc9d40891440da92d0980356c5c" ns2:_="" ns3:_="">
    <xsd:import namespace="86f95c67-ddbc-48f0-832c-fb9c6085520f"/>
    <xsd:import namespace="8ba718bc-0ae0-4f51-a9d0-546bfafaa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95c67-ddbc-48f0-832c-fb9c608552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718bc-0ae0-4f51-a9d0-546bfafaa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B47B-F9BB-4531-A172-3B3805625529}"/>
</file>

<file path=customXml/itemProps2.xml><?xml version="1.0" encoding="utf-8"?>
<ds:datastoreItem xmlns:ds="http://schemas.openxmlformats.org/officeDocument/2006/customXml" ds:itemID="{137E0D0C-2D0A-4FA3-9B42-06C3F63C54B5}"/>
</file>

<file path=customXml/itemProps3.xml><?xml version="1.0" encoding="utf-8"?>
<ds:datastoreItem xmlns:ds="http://schemas.openxmlformats.org/officeDocument/2006/customXml" ds:itemID="{99155AC3-D7CA-4F06-8CE6-41EA6D7589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JOSE TORRES-LOPEZ</dc:creator>
  <cp:keywords/>
  <dc:description/>
  <cp:lastModifiedBy/>
  <cp:revision/>
  <dcterms:created xsi:type="dcterms:W3CDTF">2024-05-03T15:05:57Z</dcterms:created>
  <dcterms:modified xsi:type="dcterms:W3CDTF">2025-03-17T15:05:06Z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0x010100354FC5B7D3A725488B81011A3E4A6367</vt:lpwstr>
  </property>
</Properties>
</file>