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autoCompressPictures="0"/>
  <mc:AlternateContent xmlns:mc="http://schemas.openxmlformats.org/markup-compatibility/2006">
    <mc:Choice Requires="x15">
      <x15ac:absPath xmlns:x15ac="http://schemas.microsoft.com/office/spreadsheetml/2010/11/ac" url="D:\2018-2023\Publicaciones\Presupuestos Modelo\Corregidos\"/>
    </mc:Choice>
  </mc:AlternateContent>
  <xr:revisionPtr revIDLastSave="0" documentId="8_{A9FEB1A9-6C52-48FB-863B-39F18B724DAD}" xr6:coauthVersionLast="47" xr6:coauthVersionMax="47" xr10:uidLastSave="{00000000-0000-0000-0000-000000000000}"/>
  <bookViews>
    <workbookView xWindow="-120" yWindow="-120" windowWidth="29040" windowHeight="15720" xr2:uid="{00000000-000D-0000-FFFF-FFFF00000000}"/>
  </bookViews>
  <sheets>
    <sheet name="Presupuesto Modelo" sheetId="3" r:id="rId1"/>
  </sheets>
  <definedNames>
    <definedName name="_xlnm.Print_Area" localSheetId="0">'Presupuesto Modelo'!$A$1:$H$126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B68" i="3" l="1"/>
  <c r="E68" i="3" s="1"/>
  <c r="F68" i="3" s="1"/>
  <c r="D22" i="3"/>
  <c r="E22" i="3" s="1"/>
  <c r="F22" i="3" s="1"/>
  <c r="D21" i="3"/>
  <c r="E21" i="3" s="1"/>
  <c r="F21" i="3" s="1"/>
  <c r="D20" i="3"/>
  <c r="E20" i="3" s="1"/>
  <c r="F20" i="3" s="1"/>
  <c r="D19" i="3"/>
  <c r="D17" i="3"/>
  <c r="E17" i="3" s="1"/>
  <c r="F17" i="3" s="1"/>
  <c r="D16" i="3"/>
  <c r="E16" i="3" s="1"/>
  <c r="F16" i="3" s="1"/>
  <c r="D15" i="3"/>
  <c r="E15" i="3" s="1"/>
  <c r="F15" i="3" s="1"/>
  <c r="E14" i="3"/>
  <c r="F14" i="3" s="1"/>
  <c r="E75" i="3"/>
  <c r="F57" i="3"/>
  <c r="F56" i="3"/>
  <c r="F55" i="3"/>
  <c r="F54" i="3"/>
  <c r="F23" i="3"/>
  <c r="F18" i="3"/>
  <c r="E34" i="3"/>
  <c r="F34" i="3" s="1"/>
  <c r="E28" i="3"/>
  <c r="E48" i="3"/>
  <c r="F48" i="3" s="1"/>
  <c r="E45" i="3"/>
  <c r="F45" i="3" s="1"/>
  <c r="E46" i="3"/>
  <c r="F46" i="3" s="1"/>
  <c r="E47" i="3"/>
  <c r="F47" i="3" s="1"/>
  <c r="E44" i="3"/>
  <c r="E37" i="3"/>
  <c r="E38" i="3"/>
  <c r="F38" i="3" s="1"/>
  <c r="E29" i="3"/>
  <c r="E30" i="3"/>
  <c r="F30" i="3" s="1"/>
  <c r="E31" i="3"/>
  <c r="F31" i="3" s="1"/>
  <c r="E32" i="3"/>
  <c r="F32" i="3" s="1"/>
  <c r="E33" i="3"/>
  <c r="F33" i="3" s="1"/>
  <c r="E35" i="3"/>
  <c r="F35" i="3" s="1"/>
  <c r="E36" i="3"/>
  <c r="F36" i="3" s="1"/>
  <c r="E13" i="3"/>
  <c r="E19" i="3"/>
  <c r="F19" i="3" s="1"/>
  <c r="E24" i="3"/>
  <c r="F24" i="3" s="1"/>
  <c r="E67" i="3"/>
  <c r="F67" i="3" s="1"/>
  <c r="D39" i="3" l="1"/>
  <c r="E39" i="3" s="1"/>
  <c r="E40" i="3" s="1"/>
  <c r="F28" i="3"/>
  <c r="F44" i="3"/>
  <c r="E49" i="3"/>
  <c r="F13" i="3"/>
  <c r="E25" i="3"/>
  <c r="F25" i="3" s="1"/>
  <c r="F39" i="3"/>
  <c r="F29" i="3"/>
  <c r="E69" i="3"/>
  <c r="F69" i="3" s="1"/>
  <c r="F37" i="3"/>
  <c r="F49" i="3" l="1"/>
  <c r="D58" i="3"/>
  <c r="E58" i="3" s="1"/>
  <c r="F58" i="3" s="1"/>
  <c r="D76" i="3"/>
  <c r="E76" i="3" s="1"/>
  <c r="D59" i="3"/>
  <c r="E59" i="3" s="1"/>
  <c r="F59" i="3" s="1"/>
  <c r="D60" i="3"/>
  <c r="F40" i="3"/>
  <c r="E60" i="3" l="1"/>
  <c r="F60" i="3" s="1"/>
  <c r="E61" i="3" l="1"/>
  <c r="F61" i="3" s="1"/>
  <c r="E63" i="3" l="1"/>
  <c r="F63" i="3" s="1"/>
  <c r="D77" i="3" l="1"/>
  <c r="E77" i="3" s="1"/>
  <c r="C71" i="3" l="1"/>
  <c r="D79" i="3" s="1"/>
  <c r="E79" i="3" s="1"/>
  <c r="C72" i="3"/>
  <c r="D80" i="3" s="1"/>
  <c r="E80" i="3" s="1"/>
  <c r="D78" i="3"/>
  <c r="E78" i="3" s="1"/>
</calcChain>
</file>

<file path=xl/sharedStrings.xml><?xml version="1.0" encoding="utf-8"?>
<sst xmlns="http://schemas.openxmlformats.org/spreadsheetml/2006/main" count="177" uniqueCount="122">
  <si>
    <t>UNIVERSIDAD DE PURTO RICO</t>
  </si>
  <si>
    <t>RECINTO UNIVERSITARIO DE MAYAGÜEZ</t>
  </si>
  <si>
    <t>COLEGIO DE CIENCIAS AGRÍCOLAS</t>
  </si>
  <si>
    <t>Partida</t>
  </si>
  <si>
    <t>Unidad</t>
  </si>
  <si>
    <t>Cantidad</t>
  </si>
  <si>
    <t xml:space="preserve"> Precio/Unidad </t>
  </si>
  <si>
    <t xml:space="preserve"> Valor $ </t>
  </si>
  <si>
    <t>c/u</t>
  </si>
  <si>
    <t>qq</t>
  </si>
  <si>
    <t>Herbicida</t>
  </si>
  <si>
    <t>Litros</t>
  </si>
  <si>
    <t>-</t>
  </si>
  <si>
    <t>Manga de cabezal</t>
  </si>
  <si>
    <t>Rollo 300'</t>
  </si>
  <si>
    <t>Rollo 7,000'</t>
  </si>
  <si>
    <t>Conexiones de Mangas</t>
  </si>
  <si>
    <t xml:space="preserve">Uniones </t>
  </si>
  <si>
    <t>TOTAL DE GASTOS MATERIALES</t>
  </si>
  <si>
    <t>Num. horas</t>
  </si>
  <si>
    <t>Salario</t>
  </si>
  <si>
    <t>Instalacion sistema de riego</t>
  </si>
  <si>
    <t>Horas</t>
  </si>
  <si>
    <t>Encalar</t>
  </si>
  <si>
    <t>Siembra</t>
  </si>
  <si>
    <t>Abonamiento</t>
  </si>
  <si>
    <t>Cultivo</t>
  </si>
  <si>
    <t xml:space="preserve">Inspeccion de riego </t>
  </si>
  <si>
    <t>Aplicacion de Herbicida</t>
  </si>
  <si>
    <t>Aplicacion de Plaguicida</t>
  </si>
  <si>
    <t xml:space="preserve">Cosecha </t>
  </si>
  <si>
    <t>Empaque</t>
  </si>
  <si>
    <t>Disposicion de mangas de riego y recipientes de plaguicidas</t>
  </si>
  <si>
    <t>TOTAL DE GASTOS MANO DE OBRA:</t>
  </si>
  <si>
    <t xml:space="preserve">	Núm. horas</t>
  </si>
  <si>
    <t>Salario/Hora</t>
  </si>
  <si>
    <t xml:space="preserve">Aplicacion de plaguicidas </t>
  </si>
  <si>
    <t xml:space="preserve">Disposicion de mangas </t>
  </si>
  <si>
    <t xml:space="preserve">TOTAL DE GASTOS DE ALQUILER DE MAQUINARIA: </t>
  </si>
  <si>
    <t>OTROS GASTOS:</t>
  </si>
  <si>
    <t xml:space="preserve">Cantidad </t>
  </si>
  <si>
    <t>Precio</t>
  </si>
  <si>
    <t>Valor</t>
  </si>
  <si>
    <t xml:space="preserve">Seguros </t>
  </si>
  <si>
    <t>Seguridad</t>
  </si>
  <si>
    <t>Administración, Supervisión e Imprevistos</t>
  </si>
  <si>
    <t xml:space="preserve">Interés sobre los gastos </t>
  </si>
  <si>
    <t xml:space="preserve">Gastos </t>
  </si>
  <si>
    <t>TOTAL DE OTROS GASTOS:</t>
  </si>
  <si>
    <t xml:space="preserve">TOTAL DE GASTOS </t>
  </si>
  <si>
    <t>INGRESOS:</t>
  </si>
  <si>
    <t>Precio/unidad</t>
  </si>
  <si>
    <t xml:space="preserve">Venta de Papayas </t>
  </si>
  <si>
    <t>Subsidio Salarial</t>
  </si>
  <si>
    <t>TOTAL DE INGRESOS:</t>
  </si>
  <si>
    <t>Precio Mínimo de Venta:</t>
  </si>
  <si>
    <t>PARTIDA</t>
  </si>
  <si>
    <t>VALOR</t>
  </si>
  <si>
    <t>Número de Cuerdas:</t>
  </si>
  <si>
    <t>Ingreso Total:</t>
  </si>
  <si>
    <t>Ingreso Neto:</t>
  </si>
  <si>
    <t>Revisado por:</t>
  </si>
  <si>
    <t>Dra. Myrna Comas Pagán,  Servicio de Extensión Agrícola</t>
  </si>
  <si>
    <t>Prof. José Zamora Echevarra, Servicio de Extensión Agrícola</t>
  </si>
  <si>
    <t>Presupuesto  Electrónico Creado Por:</t>
  </si>
  <si>
    <t>[1]  Para un ciclo de producción en 1 cuerda con riego por goteo, topografía llana o semi llana (que se puede trabajar con máquinas), incluye todo el proceso de labranza.</t>
  </si>
  <si>
    <t>[2] El costo de las plántulas semilla varía de acuerdo a la variedad sembrada.</t>
  </si>
  <si>
    <t>"THIS MATERIAL IS BASED UPON WORK SUPPORTED BY THE NATIONAL INSTITUTE OF FOOD AND AGRICULTURE, U.S. DEPARTMENT OF AGRICULTURE UNDER AWARD NUMBER: USDA-NIFA: 2009-39300-2035"</t>
  </si>
  <si>
    <t>[15] El precio mínimo es el precio para recobrar todos los costos.</t>
  </si>
  <si>
    <r>
      <rPr>
        <b/>
        <sz val="12"/>
        <rFont val="Times New Roman"/>
        <family val="1"/>
      </rPr>
      <t>PRESUPUESTO MODELO: Papaya (1cuerda)</t>
    </r>
    <r>
      <rPr>
        <u/>
        <vertAlign val="superscript"/>
        <sz val="12"/>
        <color theme="10"/>
        <rFont val="Times New Roman"/>
        <family val="1"/>
      </rPr>
      <t>[1]</t>
    </r>
  </si>
  <si>
    <r>
      <rPr>
        <sz val="12"/>
        <rFont val="Times New Roman"/>
        <family val="1"/>
      </rPr>
      <t>Plantulas</t>
    </r>
    <r>
      <rPr>
        <vertAlign val="superscript"/>
        <sz val="12"/>
        <color theme="10"/>
        <rFont val="Times New Roman"/>
        <family val="1"/>
      </rPr>
      <t>[2]</t>
    </r>
  </si>
  <si>
    <t>Brendalis Zabala Gerez, estudiante graduada, Departamento de Ciencias Agroambientales</t>
  </si>
  <si>
    <t>"THE EXCEL FILE WAS BASED UPON WORK SUPPOERTED BY THE PROJECT: 2021 OUTREACH AND ASSISTANCE FOR SOCIALLY DISADVANTAGED FARMERS AND RANCHERS AND VETERAN FARMERS AND RANCHERS: THIS MATERIAL IS BASED UPON WORK SUPPORTED BY USDA/OPPE UNDER AWARD NUMBER: AO212501X443G010.”</t>
  </si>
  <si>
    <t xml:space="preserve">AVISO: Los Presupuestos Modelos presentan la información de los ingresos y gastos bajo condiciones normales y características particulares de una finca.  La Universidad de Puerto Rico no asume responsabilidad por los resultados si los ingresos y gastos de una empresa en particular difieren de dicha publicación. El usuario de estos modelos releva a la Universidad de Puerto Rico de toda responsabilidad, reclamación, pérdida, daño o costo relacionado o surgido por el uso de estos modelos. </t>
  </si>
  <si>
    <t>Nómina</t>
  </si>
  <si>
    <r>
      <rPr>
        <b/>
        <sz val="12"/>
        <rFont val="Times New Roman"/>
        <family val="1"/>
      </rPr>
      <t>Precio Mínimo (Quintal)</t>
    </r>
    <r>
      <rPr>
        <b/>
        <vertAlign val="superscript"/>
        <sz val="12"/>
        <rFont val="Times New Roman"/>
        <family val="1"/>
      </rPr>
      <t>[</t>
    </r>
    <r>
      <rPr>
        <b/>
        <vertAlign val="superscript"/>
        <sz val="12"/>
        <color theme="10"/>
        <rFont val="Times New Roman"/>
        <family val="1"/>
      </rPr>
      <t>15]</t>
    </r>
  </si>
  <si>
    <r>
      <rPr>
        <b/>
        <sz val="12"/>
        <rFont val="Times New Roman"/>
        <family val="1"/>
      </rPr>
      <t>Producción Mínima (Quintal)</t>
    </r>
    <r>
      <rPr>
        <b/>
        <vertAlign val="superscript"/>
        <sz val="12"/>
        <color theme="10"/>
        <rFont val="Times New Roman"/>
        <family val="1"/>
      </rPr>
      <t>[16]</t>
    </r>
  </si>
  <si>
    <t>GASTOS DE MATERIALES</t>
  </si>
  <si>
    <t>Libra</t>
  </si>
  <si>
    <t>Cajas de empaque 30 lbs</t>
  </si>
  <si>
    <r>
      <t xml:space="preserve">Produccion Mínima/ Cuerda </t>
    </r>
    <r>
      <rPr>
        <sz val="12"/>
        <color rgb="FF000000"/>
        <rFont val="Times New Roman"/>
        <family val="1"/>
      </rPr>
      <t>(caja 30 lbs)</t>
    </r>
  </si>
  <si>
    <t>Costo Total:</t>
  </si>
  <si>
    <r>
      <rPr>
        <sz val="12"/>
        <rFont val="Times New Roman"/>
        <family val="1"/>
      </rPr>
      <t>Abono liquido</t>
    </r>
    <r>
      <rPr>
        <vertAlign val="superscript"/>
        <sz val="12"/>
        <color theme="10"/>
        <rFont val="Times New Roman"/>
        <family val="1"/>
      </rPr>
      <t xml:space="preserve">[4] </t>
    </r>
  </si>
  <si>
    <r>
      <rPr>
        <sz val="12"/>
        <rFont val="Times New Roman"/>
        <family val="1"/>
      </rPr>
      <t>Abono 15-15-15</t>
    </r>
    <r>
      <rPr>
        <sz val="12"/>
        <color theme="10"/>
        <rFont val="Times New Roman"/>
        <family val="1"/>
      </rPr>
      <t xml:space="preserve"> </t>
    </r>
    <r>
      <rPr>
        <vertAlign val="superscript"/>
        <sz val="12"/>
        <color theme="10"/>
        <rFont val="Times New Roman"/>
        <family val="1"/>
      </rPr>
      <t>[5]</t>
    </r>
  </si>
  <si>
    <r>
      <rPr>
        <sz val="12"/>
        <rFont val="Times New Roman"/>
        <family val="1"/>
      </rPr>
      <t>Plaguicidas</t>
    </r>
    <r>
      <rPr>
        <vertAlign val="superscript"/>
        <sz val="12"/>
        <color theme="10"/>
        <rFont val="Times New Roman"/>
        <family val="1"/>
      </rPr>
      <t>[6]</t>
    </r>
  </si>
  <si>
    <r>
      <rPr>
        <sz val="12"/>
        <rFont val="Times New Roman"/>
        <family val="1"/>
      </rPr>
      <t>Manga de riego</t>
    </r>
    <r>
      <rPr>
        <vertAlign val="superscript"/>
        <sz val="12"/>
        <color theme="10"/>
        <rFont val="Times New Roman"/>
        <family val="1"/>
      </rPr>
      <t>[7]</t>
    </r>
  </si>
  <si>
    <r>
      <rPr>
        <sz val="12"/>
        <rFont val="Times New Roman"/>
        <family val="1"/>
      </rPr>
      <t>Agua de riego</t>
    </r>
    <r>
      <rPr>
        <vertAlign val="superscript"/>
        <sz val="12"/>
        <color theme="10"/>
        <rFont val="Times New Roman"/>
        <family val="1"/>
      </rPr>
      <t>[8]</t>
    </r>
  </si>
  <si>
    <r>
      <rPr>
        <b/>
        <sz val="12"/>
        <rFont val="Times New Roman"/>
        <family val="1"/>
      </rPr>
      <t>GASTOS DE MANO DE OBRA:</t>
    </r>
    <r>
      <rPr>
        <vertAlign val="superscript"/>
        <sz val="12"/>
        <color theme="10"/>
        <rFont val="Times New Roman"/>
        <family val="1"/>
      </rPr>
      <t>[9]</t>
    </r>
  </si>
  <si>
    <r>
      <rPr>
        <sz val="12"/>
        <rFont val="Times New Roman"/>
        <family val="1"/>
      </rPr>
      <t>Obligaciones patronales</t>
    </r>
    <r>
      <rPr>
        <sz val="12"/>
        <color theme="10"/>
        <rFont val="Times New Roman"/>
        <family val="1"/>
      </rPr>
      <t xml:space="preserve"> </t>
    </r>
    <r>
      <rPr>
        <vertAlign val="superscript"/>
        <sz val="12"/>
        <color theme="10"/>
        <rFont val="Times New Roman"/>
        <family val="1"/>
      </rPr>
      <t>[10]</t>
    </r>
  </si>
  <si>
    <r>
      <rPr>
        <b/>
        <sz val="12"/>
        <rFont val="Times New Roman"/>
        <family val="1"/>
      </rPr>
      <t>GASTOS DE ALQUILER DE MAQUINARIA:</t>
    </r>
    <r>
      <rPr>
        <vertAlign val="superscript"/>
        <sz val="12"/>
        <color theme="10"/>
        <rFont val="Times New Roman"/>
        <family val="1"/>
      </rPr>
      <t>[11]</t>
    </r>
  </si>
  <si>
    <r>
      <rPr>
        <sz val="12"/>
        <rFont val="Times New Roman"/>
        <family val="1"/>
      </rPr>
      <t xml:space="preserve">Preparacion del terreno  </t>
    </r>
    <r>
      <rPr>
        <vertAlign val="superscript"/>
        <sz val="12"/>
        <color theme="10"/>
        <rFont val="Times New Roman"/>
        <family val="1"/>
      </rPr>
      <t>[12]</t>
    </r>
  </si>
  <si>
    <r>
      <rPr>
        <sz val="12"/>
        <rFont val="Times New Roman"/>
        <family val="1"/>
      </rPr>
      <t xml:space="preserve">Uso del terreno </t>
    </r>
    <r>
      <rPr>
        <vertAlign val="superscript"/>
        <sz val="12"/>
        <color theme="10"/>
        <rFont val="Times New Roman"/>
        <family val="1"/>
      </rPr>
      <t>[13]</t>
    </r>
  </si>
  <si>
    <r>
      <rPr>
        <sz val="12"/>
        <rFont val="Times New Roman"/>
        <family val="1"/>
      </rPr>
      <t xml:space="preserve">Dispocision de mangas de riego y recipientes de plaguicidas </t>
    </r>
    <r>
      <rPr>
        <vertAlign val="superscript"/>
        <sz val="12"/>
        <color theme="10"/>
        <rFont val="Times New Roman"/>
        <family val="1"/>
      </rPr>
      <t>[14]</t>
    </r>
  </si>
  <si>
    <r>
      <rPr>
        <sz val="12"/>
        <rFont val="Times New Roman"/>
        <family val="1"/>
      </rPr>
      <t>Cal</t>
    </r>
    <r>
      <rPr>
        <vertAlign val="superscript"/>
        <sz val="12"/>
        <color theme="10"/>
        <rFont val="Times New Roman"/>
        <family val="1"/>
      </rPr>
      <t>[3]</t>
    </r>
  </si>
  <si>
    <t>[3] Si la siembra se va a establecer en la montaña posiblemente tendrá que aplicar cal.</t>
  </si>
  <si>
    <t>[4] El abono líquido se aplica previo a la siembra y tiene un alto contenido de fósforo.</t>
  </si>
  <si>
    <t>[5] El abono se aplica cada 2 semanas por 6 meses y luego se realiza 1 aplicación mensual.</t>
  </si>
  <si>
    <t>[6] El valor de los plaguicidas varía de acuerdo a la incidencia de plagas y enfermedades en el área. Los plaguicidas que utilice el agricultor deben tener registro de uso para este cultivo. El agricultor debe leer la etiqueta de los mismos para utilizarlos adecuadamente.</t>
  </si>
  <si>
    <t>[7] Se asume que la finca posee la infraestructura de riego.</t>
  </si>
  <si>
    <t>[8] Se paga basándose en costo de energía.</t>
  </si>
  <si>
    <t>[10] Las obligaciones patronales incluyen pagos al "Internal Revenue Service" (Seguro Social), Corporación del Fondo del Seguro del Estado (Seguro Obreros), Departamento del Trabajo (Seguro por Desempleo) y Negociado del Seguro Social Choferil (Seguro Choferil).</t>
  </si>
  <si>
    <t>[11] Los gastos de maquinaria incluyen costo de combustible, lubricantes, mantenimiento y reparaciones. También incluye el costo de operador.</t>
  </si>
  <si>
    <t>[12] La preparación del terreno incluye arado, rastrillado, banqueo, aplicación de abono base e instalación de mangas de riego.</t>
  </si>
  <si>
    <t>[13] Esto representa un costo de arrendamiento incluyendo las contribuciones.</t>
  </si>
  <si>
    <t>[14] Incluye el costo del alquiler de recipiente para la disposición de los plásticos, las mangas y los recipientes de plaguicidas.</t>
  </si>
  <si>
    <t>[9] El salario mínimo agrícola de Puerto Rico es de $7.25 pero el salario minimo para las otras empresas es de $10.25.</t>
  </si>
  <si>
    <t>[17]El agricultor debe ajustar su presupuesto de acuerdo a sus experiencias y expectativas.</t>
  </si>
  <si>
    <r>
      <rPr>
        <b/>
        <sz val="12"/>
        <rFont val="Times New Roman"/>
        <family val="1"/>
      </rPr>
      <t xml:space="preserve">Mi Finca </t>
    </r>
    <r>
      <rPr>
        <b/>
        <vertAlign val="superscript"/>
        <sz val="12"/>
        <color theme="10"/>
        <rFont val="Times New Roman"/>
        <family val="1"/>
      </rPr>
      <t>[17]</t>
    </r>
  </si>
  <si>
    <t xml:space="preserve">Mi Finca </t>
  </si>
  <si>
    <t>[16] La producción mínima es la cantidad de cajas de 30 lbs por cuerda que se debe vender para cubrir los costos. Venta de cajas adicionales a la producción mínima  seran ganancias.</t>
  </si>
  <si>
    <t>Se actualizaron los salarios por hora y precio de venta del producto (los precios de insumos no se actualizaron continuan a precios del 2012)</t>
  </si>
  <si>
    <t>Puede editar los espacios de las celdas color amarillo claro.</t>
  </si>
  <si>
    <t xml:space="preserve">Uso de Capital </t>
  </si>
  <si>
    <t>Caja 40 lb</t>
  </si>
  <si>
    <t>Dra. Alexandra Gregory Crespo, Departamento de Economía Agrícola y Sociología Rural, Servicio de Extensión Agrícola</t>
  </si>
  <si>
    <t>Fecha de revisión: Octubre 2026</t>
  </si>
  <si>
    <t>Normarie Santiago Cruz</t>
  </si>
  <si>
    <t>Rafael J. Figueroa Hernández, estudiante graduado en Economía Agrícola</t>
  </si>
  <si>
    <t>Yadiel Castillo Rivera, estudiante graduado en Economía Agrícola</t>
  </si>
  <si>
    <t>Adalberto Santos Colón, estudiante graduado en Economía Agrícola</t>
  </si>
  <si>
    <t>Shaley M. Torres Rivera, estudiante graduado en Economía Agrícola</t>
  </si>
  <si>
    <t>Agradecimientos 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</si>
</sst>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_-* #,##0.00_-;\-* #,##0.00_-;_-* &quot;-&quot;??_-;_-@_-"/>
    <numFmt numFmtId="165" formatCode="&quot;$&quot;#,##0.00"/>
    <numFmt numFmtId="166" formatCode="#,##0_ ;\-#,##0\ "/>
  </numFmts>
  <fonts count="23" x14ac:knownFonts="1">
    <font>
      <sz val="12"/>
      <color theme="1"/>
      <name val="Times New Roman"/>
      <family val="2"/>
    </font>
    <font>
      <sz val="12"/>
      <color rgb="FF000000"/>
      <name val="Times New Roman"/>
      <family val="1"/>
    </font>
    <font>
      <b/>
      <sz val="12"/>
      <color rgb="FF000000"/>
      <name val="Times New Roman"/>
      <family val="1"/>
    </font>
    <font>
      <sz val="12"/>
      <color theme="1"/>
      <name val="Times New Roman"/>
      <family val="1"/>
    </font>
    <font>
      <u/>
      <sz val="12"/>
      <color theme="10"/>
      <name val="Times New Roman"/>
      <family val="2"/>
    </font>
    <font>
      <u/>
      <sz val="12"/>
      <color theme="11"/>
      <name val="Times New Roman"/>
      <family val="2"/>
    </font>
    <font>
      <b/>
      <sz val="12"/>
      <color theme="1"/>
      <name val="Times New Roman"/>
      <family val="1"/>
    </font>
    <font>
      <sz val="12"/>
      <name val="Times New Roman"/>
      <family val="1"/>
    </font>
    <font>
      <sz val="11"/>
      <name val="Calibri"/>
      <family val="2"/>
    </font>
    <font>
      <sz val="12"/>
      <color theme="1"/>
      <name val="Times New Roman"/>
      <family val="2"/>
    </font>
    <font>
      <b/>
      <sz val="14"/>
      <color rgb="FF000000"/>
      <name val="Times New Roman"/>
      <family val="1"/>
    </font>
    <font>
      <b/>
      <sz val="16"/>
      <color rgb="FF000000"/>
      <name val="Times New Roman"/>
      <family val="1"/>
    </font>
    <font>
      <sz val="11"/>
      <color theme="4" tint="-0.249977111117893"/>
      <name val="Calibri"/>
      <family val="2"/>
    </font>
    <font>
      <sz val="12"/>
      <color theme="4" tint="-0.249977111117893"/>
      <name val="Times New Roman"/>
      <family val="2"/>
    </font>
    <font>
      <u/>
      <vertAlign val="superscript"/>
      <sz val="12"/>
      <color theme="10"/>
      <name val="Times New Roman"/>
      <family val="1"/>
    </font>
    <font>
      <u/>
      <sz val="12"/>
      <color theme="10"/>
      <name val="Times New Roman"/>
      <family val="1"/>
    </font>
    <font>
      <b/>
      <sz val="12"/>
      <name val="Times New Roman"/>
      <family val="1"/>
    </font>
    <font>
      <sz val="8"/>
      <name val="Times New Roman"/>
      <family val="2"/>
    </font>
    <font>
      <sz val="12"/>
      <color theme="10"/>
      <name val="Times New Roman"/>
      <family val="1"/>
    </font>
    <font>
      <b/>
      <sz val="12"/>
      <color theme="10"/>
      <name val="Times New Roman"/>
      <family val="1"/>
    </font>
    <font>
      <b/>
      <vertAlign val="superscript"/>
      <sz val="12"/>
      <color theme="10"/>
      <name val="Times New Roman"/>
      <family val="1"/>
    </font>
    <font>
      <vertAlign val="superscript"/>
      <sz val="12"/>
      <color theme="10"/>
      <name val="Times New Roman"/>
      <family val="1"/>
    </font>
    <font>
      <b/>
      <vertAlign val="superscript"/>
      <sz val="12"/>
      <name val="Times New Roman"/>
      <family val="1"/>
    </font>
  </fonts>
  <fills count="4">
    <fill>
      <patternFill patternType="none"/>
    </fill>
    <fill>
      <patternFill patternType="gray125"/>
    </fill>
    <fill>
      <patternFill patternType="solid">
        <fgColor theme="0"/>
        <bgColor indexed="64"/>
      </patternFill>
    </fill>
    <fill>
      <patternFill patternType="solid">
        <fgColor rgb="FFFFFFCC"/>
        <bgColor indexed="64"/>
      </patternFill>
    </fill>
  </fills>
  <borders count="50">
    <border>
      <left/>
      <right/>
      <top/>
      <bottom/>
      <diagonal/>
    </border>
    <border>
      <left style="medium">
        <color auto="1"/>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top style="thin">
        <color auto="1"/>
      </top>
      <bottom style="thin">
        <color auto="1"/>
      </bottom>
      <diagonal/>
    </border>
    <border>
      <left style="thin">
        <color auto="1"/>
      </left>
      <right style="thin">
        <color auto="1"/>
      </right>
      <top style="thin">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top/>
      <bottom style="thin">
        <color auto="1"/>
      </bottom>
      <diagonal/>
    </border>
    <border>
      <left style="thin">
        <color auto="1"/>
      </left>
      <right/>
      <top style="medium">
        <color auto="1"/>
      </top>
      <bottom style="medium">
        <color auto="1"/>
      </bottom>
      <diagonal/>
    </border>
    <border>
      <left style="medium">
        <color auto="1"/>
      </left>
      <right/>
      <top style="thin">
        <color auto="1"/>
      </top>
      <bottom/>
      <diagonal/>
    </border>
    <border>
      <left/>
      <right/>
      <top style="thin">
        <color auto="1"/>
      </top>
      <bottom/>
      <diagonal/>
    </border>
    <border>
      <left style="medium">
        <color auto="1"/>
      </left>
      <right/>
      <top/>
      <bottom style="thin">
        <color auto="1"/>
      </bottom>
      <diagonal/>
    </border>
    <border>
      <left/>
      <right/>
      <top/>
      <bottom style="thin">
        <color auto="1"/>
      </bottom>
      <diagonal/>
    </border>
    <border>
      <left/>
      <right style="thin">
        <color auto="1"/>
      </right>
      <top style="thin">
        <color auto="1"/>
      </top>
      <bottom/>
      <diagonal/>
    </border>
    <border>
      <left style="medium">
        <color auto="1"/>
      </left>
      <right style="thin">
        <color auto="1"/>
      </right>
      <top style="medium">
        <color auto="1"/>
      </top>
      <bottom/>
      <diagonal/>
    </border>
    <border>
      <left/>
      <right style="thin">
        <color auto="1"/>
      </right>
      <top/>
      <bottom style="thin">
        <color auto="1"/>
      </bottom>
      <diagonal/>
    </border>
    <border>
      <left style="thin">
        <color auto="1"/>
      </left>
      <right/>
      <top style="thin">
        <color auto="1"/>
      </top>
      <bottom/>
      <diagonal/>
    </border>
    <border>
      <left style="medium">
        <color auto="1"/>
      </left>
      <right style="thin">
        <color auto="1"/>
      </right>
      <top/>
      <bottom/>
      <diagonal/>
    </border>
    <border>
      <left style="thin">
        <color auto="1"/>
      </left>
      <right style="thin">
        <color auto="1"/>
      </right>
      <top/>
      <bottom/>
      <diagonal/>
    </border>
    <border>
      <left style="thin">
        <color auto="1"/>
      </left>
      <right/>
      <top/>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auto="1"/>
      </top>
      <bottom/>
      <diagonal/>
    </border>
    <border>
      <left style="thin">
        <color auto="1"/>
      </left>
      <right style="medium">
        <color indexed="64"/>
      </right>
      <top/>
      <bottom style="medium">
        <color indexed="64"/>
      </bottom>
      <diagonal/>
    </border>
    <border>
      <left/>
      <right style="thin">
        <color auto="1"/>
      </right>
      <top/>
      <bottom/>
      <diagonal/>
    </border>
    <border>
      <left style="thin">
        <color auto="1"/>
      </left>
      <right/>
      <top style="thin">
        <color auto="1"/>
      </top>
      <bottom style="medium">
        <color indexed="64"/>
      </bottom>
      <diagonal/>
    </border>
    <border>
      <left style="thin">
        <color auto="1"/>
      </left>
      <right style="medium">
        <color indexed="64"/>
      </right>
      <top style="thin">
        <color auto="1"/>
      </top>
      <bottom style="thin">
        <color auto="1"/>
      </bottom>
      <diagonal/>
    </border>
    <border>
      <left/>
      <right/>
      <top style="medium">
        <color indexed="64"/>
      </top>
      <bottom/>
      <diagonal/>
    </border>
    <border>
      <left/>
      <right style="medium">
        <color indexed="64"/>
      </right>
      <top style="medium">
        <color indexed="64"/>
      </top>
      <bottom/>
      <diagonal/>
    </border>
    <border>
      <left style="medium">
        <color auto="1"/>
      </left>
      <right style="thin">
        <color auto="1"/>
      </right>
      <top style="thin">
        <color auto="1"/>
      </top>
      <bottom/>
      <diagonal/>
    </border>
    <border>
      <left style="thin">
        <color auto="1"/>
      </left>
      <right style="medium">
        <color indexed="64"/>
      </right>
      <top style="thin">
        <color auto="1"/>
      </top>
      <bottom/>
      <diagonal/>
    </border>
    <border>
      <left style="thin">
        <color auto="1"/>
      </left>
      <right style="medium">
        <color auto="1"/>
      </right>
      <top/>
      <bottom/>
      <diagonal/>
    </border>
  </borders>
  <cellStyleXfs count="15">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9" fontId="9" fillId="0" borderId="0" applyFont="0" applyFill="0" applyBorder="0" applyAlignment="0" applyProtection="0"/>
    <xf numFmtId="0" fontId="4" fillId="0" borderId="0" applyNumberFormat="0" applyFill="0" applyBorder="0" applyAlignment="0" applyProtection="0"/>
    <xf numFmtId="44" fontId="9" fillId="0" borderId="0" applyFont="0" applyFill="0" applyBorder="0" applyAlignment="0" applyProtection="0"/>
    <xf numFmtId="164" fontId="9" fillId="0" borderId="0" applyFont="0" applyFill="0" applyBorder="0" applyAlignment="0" applyProtection="0"/>
  </cellStyleXfs>
  <cellXfs count="176">
    <xf numFmtId="0" fontId="0" fillId="0" borderId="0" xfId="0"/>
    <xf numFmtId="0" fontId="3" fillId="0" borderId="0" xfId="0" applyFont="1" applyAlignment="1">
      <alignment vertical="center"/>
    </xf>
    <xf numFmtId="0" fontId="8" fillId="0" borderId="0" xfId="0" applyFont="1" applyAlignment="1">
      <alignment vertical="center"/>
    </xf>
    <xf numFmtId="0" fontId="0" fillId="0" borderId="0" xfId="0" applyAlignment="1">
      <alignmen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vertical="center"/>
    </xf>
    <xf numFmtId="0" fontId="1" fillId="0" borderId="0" xfId="0" applyFont="1" applyAlignment="1">
      <alignment vertical="center"/>
    </xf>
    <xf numFmtId="0" fontId="0" fillId="0" borderId="0" xfId="0" applyAlignment="1">
      <alignment horizontal="center" vertical="center"/>
    </xf>
    <xf numFmtId="165" fontId="1" fillId="0" borderId="0" xfId="0" applyNumberFormat="1" applyFont="1" applyAlignment="1">
      <alignment horizontal="center" vertical="center"/>
    </xf>
    <xf numFmtId="165" fontId="0" fillId="0" borderId="0" xfId="0" applyNumberFormat="1" applyAlignment="1">
      <alignment horizontal="center" vertical="center"/>
    </xf>
    <xf numFmtId="0" fontId="1" fillId="0" borderId="0" xfId="0" applyFont="1" applyAlignment="1">
      <alignment vertical="center" wrapText="1"/>
    </xf>
    <xf numFmtId="0" fontId="2" fillId="0" borderId="0" xfId="0" applyFont="1" applyAlignment="1">
      <alignment horizontal="left" vertical="center"/>
    </xf>
    <xf numFmtId="0" fontId="1" fillId="0" borderId="2" xfId="0" applyFont="1" applyBorder="1" applyAlignment="1">
      <alignment horizontal="center" vertical="center"/>
    </xf>
    <xf numFmtId="0" fontId="1" fillId="0" borderId="11" xfId="0" applyFont="1" applyBorder="1" applyAlignment="1">
      <alignment horizontal="left" vertical="center"/>
    </xf>
    <xf numFmtId="0" fontId="1" fillId="0" borderId="11" xfId="0" applyFont="1" applyBorder="1" applyAlignment="1">
      <alignment horizontal="left" vertical="center" wrapText="1"/>
    </xf>
    <xf numFmtId="165" fontId="1" fillId="0" borderId="2" xfId="0" applyNumberFormat="1" applyFont="1" applyBorder="1" applyAlignment="1">
      <alignment horizontal="center" vertical="center"/>
    </xf>
    <xf numFmtId="0" fontId="1" fillId="0" borderId="2" xfId="0" applyFont="1" applyBorder="1" applyAlignment="1" applyProtection="1">
      <alignment horizontal="center" vertical="center"/>
      <protection locked="0"/>
    </xf>
    <xf numFmtId="0" fontId="2" fillId="0" borderId="14" xfId="0" applyFont="1" applyBorder="1" applyAlignment="1">
      <alignment vertical="center"/>
    </xf>
    <xf numFmtId="0" fontId="2" fillId="0" borderId="15" xfId="0" applyFont="1" applyBorder="1" applyAlignment="1">
      <alignment horizontal="center" vertical="center"/>
    </xf>
    <xf numFmtId="0" fontId="6"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left" vertical="center"/>
    </xf>
    <xf numFmtId="0" fontId="2" fillId="0" borderId="7" xfId="0" applyFont="1" applyBorder="1" applyAlignment="1">
      <alignment horizontal="center" vertical="center"/>
    </xf>
    <xf numFmtId="0" fontId="1" fillId="0" borderId="9" xfId="0" applyFont="1" applyBorder="1" applyAlignment="1">
      <alignment horizontal="left" vertical="center"/>
    </xf>
    <xf numFmtId="0" fontId="1" fillId="0" borderId="5" xfId="0" applyFont="1" applyBorder="1" applyAlignment="1">
      <alignment horizontal="center" vertical="center"/>
    </xf>
    <xf numFmtId="44" fontId="10" fillId="0" borderId="0" xfId="13" applyFont="1" applyFill="1" applyBorder="1" applyAlignment="1">
      <alignment horizontal="center" vertical="center"/>
    </xf>
    <xf numFmtId="0" fontId="4" fillId="0" borderId="0" xfId="12" applyFill="1" applyAlignment="1">
      <alignment horizontal="left" vertical="center" wrapText="1"/>
    </xf>
    <xf numFmtId="0" fontId="2" fillId="0" borderId="12" xfId="0" applyFont="1" applyBorder="1" applyAlignment="1">
      <alignment horizontal="left" vertical="center"/>
    </xf>
    <xf numFmtId="0" fontId="2" fillId="0" borderId="16" xfId="0" applyFont="1" applyBorder="1" applyAlignment="1">
      <alignment horizontal="center" vertical="center"/>
    </xf>
    <xf numFmtId="0" fontId="2" fillId="0" borderId="20" xfId="0" applyFont="1" applyBorder="1" applyAlignment="1">
      <alignment horizontal="left" vertical="center"/>
    </xf>
    <xf numFmtId="0" fontId="1" fillId="0" borderId="12" xfId="0" applyFont="1" applyBorder="1" applyAlignment="1">
      <alignment horizontal="left" vertical="center"/>
    </xf>
    <xf numFmtId="9" fontId="1" fillId="0" borderId="2" xfId="0" applyNumberFormat="1" applyFont="1" applyBorder="1" applyAlignment="1">
      <alignment horizontal="center" vertical="center"/>
    </xf>
    <xf numFmtId="0" fontId="2" fillId="0" borderId="14" xfId="0" applyFont="1" applyBorder="1" applyAlignment="1">
      <alignment horizontal="center" vertical="top"/>
    </xf>
    <xf numFmtId="0" fontId="4" fillId="0" borderId="0" xfId="12" applyAlignment="1">
      <alignment horizontal="left"/>
    </xf>
    <xf numFmtId="0" fontId="12" fillId="0" borderId="0" xfId="0" applyFont="1" applyAlignment="1">
      <alignment vertical="center"/>
    </xf>
    <xf numFmtId="0" fontId="13" fillId="0" borderId="0" xfId="0" applyFont="1" applyAlignment="1">
      <alignment vertical="center"/>
    </xf>
    <xf numFmtId="165" fontId="11" fillId="0" borderId="0" xfId="0" applyNumberFormat="1" applyFont="1" applyAlignment="1">
      <alignment horizontal="right" vertical="center"/>
    </xf>
    <xf numFmtId="0" fontId="2" fillId="0" borderId="27" xfId="0" applyFont="1" applyBorder="1" applyAlignment="1">
      <alignment horizontal="left" vertical="center"/>
    </xf>
    <xf numFmtId="0" fontId="3" fillId="0" borderId="0" xfId="0" applyFont="1" applyAlignment="1">
      <alignment horizontal="center" vertical="center"/>
    </xf>
    <xf numFmtId="165" fontId="6" fillId="0" borderId="0" xfId="0" applyNumberFormat="1" applyFont="1" applyAlignment="1">
      <alignment horizontal="center" vertical="center"/>
    </xf>
    <xf numFmtId="165" fontId="11" fillId="0" borderId="0" xfId="0" applyNumberFormat="1" applyFont="1" applyAlignment="1">
      <alignment horizontal="center" vertical="center"/>
    </xf>
    <xf numFmtId="0" fontId="18" fillId="0" borderId="0" xfId="12" applyFont="1" applyFill="1"/>
    <xf numFmtId="0" fontId="2" fillId="0" borderId="30" xfId="0" applyFont="1" applyBorder="1" applyAlignment="1">
      <alignment vertical="center"/>
    </xf>
    <xf numFmtId="0" fontId="6" fillId="0" borderId="14" xfId="0" applyFont="1" applyBorder="1" applyAlignment="1">
      <alignment horizontal="center" vertical="center"/>
    </xf>
    <xf numFmtId="0" fontId="1" fillId="0" borderId="5" xfId="0" quotePrefix="1" applyFont="1" applyBorder="1" applyAlignment="1">
      <alignment horizontal="center" vertical="center"/>
    </xf>
    <xf numFmtId="165" fontId="1" fillId="0" borderId="5" xfId="0" applyNumberFormat="1" applyFont="1" applyBorder="1" applyAlignment="1" applyProtection="1">
      <alignment horizontal="center" vertical="center"/>
      <protection locked="0"/>
    </xf>
    <xf numFmtId="0" fontId="1" fillId="0" borderId="13" xfId="0" applyFont="1" applyBorder="1" applyAlignment="1">
      <alignment horizontal="center" vertical="center"/>
    </xf>
    <xf numFmtId="165" fontId="1" fillId="0" borderId="13" xfId="0" applyNumberFormat="1" applyFont="1" applyBorder="1" applyAlignment="1">
      <alignment horizontal="center" vertical="center"/>
    </xf>
    <xf numFmtId="0" fontId="2" fillId="0" borderId="6" xfId="0" applyFont="1" applyBorder="1" applyAlignment="1">
      <alignment horizontal="left" vertical="center"/>
    </xf>
    <xf numFmtId="165" fontId="2" fillId="0" borderId="7" xfId="0" applyNumberFormat="1" applyFont="1" applyBorder="1" applyAlignment="1">
      <alignment horizontal="center" vertical="center"/>
    </xf>
    <xf numFmtId="165" fontId="2" fillId="0" borderId="24" xfId="0" applyNumberFormat="1" applyFont="1" applyBorder="1" applyAlignment="1">
      <alignment horizontal="center" vertical="center"/>
    </xf>
    <xf numFmtId="0" fontId="1" fillId="0" borderId="33" xfId="0" applyFont="1" applyBorder="1" applyAlignment="1">
      <alignment horizontal="left" vertical="center"/>
    </xf>
    <xf numFmtId="0" fontId="1" fillId="0" borderId="34" xfId="0" applyFont="1" applyBorder="1" applyAlignment="1">
      <alignment horizontal="center" vertical="center"/>
    </xf>
    <xf numFmtId="165" fontId="1" fillId="0" borderId="34" xfId="0" applyNumberFormat="1" applyFont="1" applyBorder="1" applyAlignment="1">
      <alignment horizontal="center" vertical="center"/>
    </xf>
    <xf numFmtId="0" fontId="18" fillId="0" borderId="14" xfId="12" applyFont="1" applyFill="1" applyBorder="1"/>
    <xf numFmtId="0" fontId="3" fillId="0" borderId="0" xfId="0" applyFont="1" applyAlignment="1">
      <alignment vertical="center" wrapText="1"/>
    </xf>
    <xf numFmtId="0" fontId="1" fillId="2" borderId="2" xfId="0" applyFont="1" applyFill="1" applyBorder="1" applyAlignment="1" applyProtection="1">
      <alignment horizontal="center" vertical="center"/>
      <protection locked="0"/>
    </xf>
    <xf numFmtId="165" fontId="1" fillId="2" borderId="2" xfId="0" applyNumberFormat="1" applyFont="1" applyFill="1" applyBorder="1" applyAlignment="1" applyProtection="1">
      <alignment horizontal="center" vertical="center"/>
      <protection locked="0"/>
    </xf>
    <xf numFmtId="0" fontId="1" fillId="2" borderId="5" xfId="0" applyFont="1" applyFill="1" applyBorder="1" applyAlignment="1" applyProtection="1">
      <alignment horizontal="center" vertical="center"/>
      <protection locked="0"/>
    </xf>
    <xf numFmtId="3" fontId="1" fillId="2" borderId="2" xfId="0" applyNumberFormat="1" applyFont="1" applyFill="1" applyBorder="1" applyAlignment="1" applyProtection="1">
      <alignment horizontal="center" vertical="center"/>
      <protection locked="0"/>
    </xf>
    <xf numFmtId="165" fontId="3" fillId="0" borderId="13" xfId="0" applyNumberFormat="1" applyFont="1" applyBorder="1" applyAlignment="1">
      <alignment horizontal="center" vertical="center"/>
    </xf>
    <xf numFmtId="0" fontId="1" fillId="0" borderId="15" xfId="0" applyFont="1" applyBorder="1" applyAlignment="1">
      <alignment horizontal="center" vertical="center"/>
    </xf>
    <xf numFmtId="165" fontId="1" fillId="0" borderId="15" xfId="0" applyNumberFormat="1" applyFont="1" applyBorder="1" applyAlignment="1">
      <alignment horizontal="center" vertical="center"/>
    </xf>
    <xf numFmtId="1" fontId="2" fillId="0" borderId="0" xfId="0" applyNumberFormat="1" applyFont="1" applyAlignment="1">
      <alignment horizontal="center" vertical="center"/>
    </xf>
    <xf numFmtId="165" fontId="2" fillId="0" borderId="0" xfId="0" applyNumberFormat="1" applyFont="1" applyAlignment="1">
      <alignment horizontal="center" vertical="center"/>
    </xf>
    <xf numFmtId="0" fontId="19" fillId="0" borderId="25" xfId="12" applyFont="1" applyBorder="1" applyAlignment="1">
      <alignment horizontal="left" vertical="center"/>
    </xf>
    <xf numFmtId="0" fontId="19" fillId="0" borderId="17" xfId="12" applyFont="1" applyBorder="1" applyAlignment="1">
      <alignment horizontal="left" vertical="center"/>
    </xf>
    <xf numFmtId="9" fontId="1" fillId="2" borderId="3" xfId="0" applyNumberFormat="1" applyFont="1" applyFill="1" applyBorder="1" applyAlignment="1">
      <alignment horizontal="center" vertical="center"/>
    </xf>
    <xf numFmtId="0" fontId="8" fillId="2" borderId="0" xfId="0" applyFont="1" applyFill="1" applyAlignment="1">
      <alignment vertical="center"/>
    </xf>
    <xf numFmtId="0" fontId="0" fillId="2" borderId="0" xfId="0" applyFill="1" applyAlignment="1">
      <alignment vertical="center"/>
    </xf>
    <xf numFmtId="0" fontId="2" fillId="0" borderId="37" xfId="0" applyFont="1" applyBorder="1" applyAlignment="1">
      <alignment horizontal="left" vertical="center"/>
    </xf>
    <xf numFmtId="0" fontId="6" fillId="0" borderId="0" xfId="0" applyFont="1" applyAlignment="1">
      <alignment horizontal="center" vertical="center"/>
    </xf>
    <xf numFmtId="0" fontId="4" fillId="0" borderId="0" xfId="12" applyFill="1" applyAlignment="1">
      <alignment horizontal="center" wrapText="1"/>
    </xf>
    <xf numFmtId="0" fontId="4" fillId="0" borderId="0" xfId="12" applyFill="1" applyAlignment="1">
      <alignment wrapText="1"/>
    </xf>
    <xf numFmtId="165" fontId="4" fillId="0" borderId="0" xfId="12" applyNumberFormat="1" applyFill="1" applyAlignment="1">
      <alignment vertical="center" wrapText="1"/>
    </xf>
    <xf numFmtId="165" fontId="4" fillId="0" borderId="0" xfId="12" applyNumberFormat="1" applyFill="1" applyAlignment="1">
      <alignment horizontal="center" vertical="center" wrapText="1"/>
    </xf>
    <xf numFmtId="0" fontId="4" fillId="0" borderId="0" xfId="12" applyAlignment="1"/>
    <xf numFmtId="165" fontId="1" fillId="0" borderId="5" xfId="0" applyNumberFormat="1" applyFont="1" applyBorder="1" applyAlignment="1">
      <alignment horizontal="center" vertical="center"/>
    </xf>
    <xf numFmtId="165" fontId="2" fillId="0" borderId="2" xfId="0" applyNumberFormat="1" applyFont="1" applyBorder="1" applyAlignment="1">
      <alignment horizontal="center" vertical="center"/>
    </xf>
    <xf numFmtId="165" fontId="1" fillId="0" borderId="35" xfId="0" applyNumberFormat="1" applyFont="1" applyBorder="1" applyAlignment="1">
      <alignment horizontal="center" vertical="center"/>
    </xf>
    <xf numFmtId="165" fontId="1" fillId="0" borderId="23" xfId="0" applyNumberFormat="1" applyFont="1" applyBorder="1" applyAlignment="1">
      <alignment horizontal="center" vertical="center"/>
    </xf>
    <xf numFmtId="165" fontId="1" fillId="0" borderId="32" xfId="0" applyNumberFormat="1" applyFont="1" applyBorder="1" applyAlignment="1">
      <alignment horizontal="center" vertical="center"/>
    </xf>
    <xf numFmtId="165" fontId="1" fillId="2" borderId="23" xfId="0" applyNumberFormat="1" applyFont="1" applyFill="1" applyBorder="1" applyAlignment="1" applyProtection="1">
      <alignment horizontal="center" vertical="center"/>
      <protection locked="0"/>
    </xf>
    <xf numFmtId="165" fontId="2" fillId="0" borderId="21" xfId="0" applyNumberFormat="1" applyFont="1" applyBorder="1" applyAlignment="1">
      <alignment horizontal="center" vertical="center"/>
    </xf>
    <xf numFmtId="165" fontId="4" fillId="0" borderId="0" xfId="12" applyNumberFormat="1" applyFill="1" applyBorder="1" applyAlignment="1">
      <alignment horizontal="center" wrapText="1"/>
    </xf>
    <xf numFmtId="0" fontId="4" fillId="0" borderId="0" xfId="12" applyFill="1" applyAlignment="1">
      <alignment horizontal="center" vertical="center" wrapText="1"/>
    </xf>
    <xf numFmtId="165" fontId="3" fillId="0" borderId="0" xfId="0" applyNumberFormat="1" applyFont="1" applyAlignment="1">
      <alignment horizontal="center" vertical="center"/>
    </xf>
    <xf numFmtId="165" fontId="10" fillId="0" borderId="0" xfId="0" applyNumberFormat="1" applyFont="1" applyAlignment="1">
      <alignment horizontal="center" vertical="center"/>
    </xf>
    <xf numFmtId="165" fontId="19" fillId="0" borderId="8" xfId="12" applyNumberFormat="1" applyFont="1" applyFill="1" applyBorder="1" applyAlignment="1">
      <alignment horizontal="center" vertical="center"/>
    </xf>
    <xf numFmtId="165" fontId="16" fillId="0" borderId="8" xfId="12" applyNumberFormat="1" applyFont="1" applyFill="1" applyBorder="1" applyAlignment="1">
      <alignment horizontal="center" vertical="center"/>
    </xf>
    <xf numFmtId="165" fontId="3" fillId="0" borderId="36" xfId="0" applyNumberFormat="1" applyFont="1" applyBorder="1" applyAlignment="1">
      <alignment horizontal="center" vertical="center"/>
    </xf>
    <xf numFmtId="165" fontId="1" fillId="0" borderId="10" xfId="0" applyNumberFormat="1" applyFont="1" applyBorder="1" applyAlignment="1">
      <alignment horizontal="center" vertical="center"/>
    </xf>
    <xf numFmtId="165" fontId="4" fillId="0" borderId="0" xfId="12" applyNumberFormat="1" applyFill="1" applyAlignment="1">
      <alignment horizontal="center" wrapText="1"/>
    </xf>
    <xf numFmtId="165" fontId="1" fillId="0" borderId="39" xfId="0" applyNumberFormat="1" applyFont="1" applyBorder="1" applyAlignment="1">
      <alignment horizontal="center" vertical="center"/>
    </xf>
    <xf numFmtId="3" fontId="1" fillId="0" borderId="22" xfId="0" applyNumberFormat="1" applyFont="1" applyBorder="1" applyAlignment="1">
      <alignment horizontal="center" vertical="center"/>
    </xf>
    <xf numFmtId="166" fontId="1" fillId="0" borderId="21" xfId="14" applyNumberFormat="1" applyFont="1" applyBorder="1" applyAlignment="1">
      <alignment horizontal="center" vertical="center"/>
    </xf>
    <xf numFmtId="0" fontId="2" fillId="0" borderId="29" xfId="0" applyFont="1" applyBorder="1" applyAlignment="1">
      <alignment horizontal="center" vertical="center"/>
    </xf>
    <xf numFmtId="0" fontId="2" fillId="0" borderId="0" xfId="0" applyFont="1" applyAlignment="1">
      <alignment horizontal="center" vertical="center"/>
    </xf>
    <xf numFmtId="0" fontId="2" fillId="0" borderId="21" xfId="0" applyFont="1" applyBorder="1" applyAlignment="1">
      <alignment horizontal="center" vertical="center"/>
    </xf>
    <xf numFmtId="0" fontId="0" fillId="0" borderId="0" xfId="0" applyAlignment="1">
      <alignment horizontal="center"/>
    </xf>
    <xf numFmtId="0" fontId="2" fillId="0" borderId="26" xfId="0" applyFont="1" applyBorder="1" applyAlignment="1">
      <alignment horizontal="center" vertical="center"/>
    </xf>
    <xf numFmtId="0" fontId="1" fillId="2" borderId="5" xfId="0" applyFont="1" applyFill="1" applyBorder="1" applyAlignment="1">
      <alignment horizontal="center" vertical="center"/>
    </xf>
    <xf numFmtId="0" fontId="2" fillId="0" borderId="38" xfId="0" applyFont="1" applyBorder="1" applyAlignment="1">
      <alignment horizontal="center" vertical="center"/>
    </xf>
    <xf numFmtId="0" fontId="2" fillId="0" borderId="28" xfId="0" applyFont="1" applyBorder="1" applyAlignment="1">
      <alignment horizontal="center" vertical="center"/>
    </xf>
    <xf numFmtId="0" fontId="2" fillId="0" borderId="3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1" fillId="3" borderId="5" xfId="0" applyFont="1" applyFill="1" applyBorder="1" applyAlignment="1" applyProtection="1">
      <alignment horizontal="center" vertical="center"/>
      <protection locked="0"/>
    </xf>
    <xf numFmtId="0" fontId="1" fillId="3" borderId="2" xfId="0" applyFont="1" applyFill="1" applyBorder="1" applyAlignment="1" applyProtection="1">
      <alignment horizontal="center" vertical="center"/>
      <protection locked="0"/>
    </xf>
    <xf numFmtId="165" fontId="1" fillId="3" borderId="5" xfId="0" applyNumberFormat="1" applyFont="1" applyFill="1" applyBorder="1" applyAlignment="1" applyProtection="1">
      <alignment horizontal="center" vertical="center"/>
      <protection locked="0"/>
    </xf>
    <xf numFmtId="165" fontId="1" fillId="3" borderId="2" xfId="0" applyNumberFormat="1" applyFont="1" applyFill="1" applyBorder="1" applyAlignment="1" applyProtection="1">
      <alignment horizontal="center" vertical="center"/>
      <protection locked="0"/>
    </xf>
    <xf numFmtId="165" fontId="1" fillId="3" borderId="2" xfId="0" applyNumberFormat="1" applyFont="1" applyFill="1" applyBorder="1" applyAlignment="1">
      <alignment horizontal="center" vertical="center"/>
    </xf>
    <xf numFmtId="0" fontId="1" fillId="0" borderId="27" xfId="0" applyFont="1" applyBorder="1" applyAlignment="1">
      <alignment horizontal="left" vertical="center"/>
    </xf>
    <xf numFmtId="0" fontId="2" fillId="0" borderId="40" xfId="0" applyFont="1" applyBorder="1" applyAlignment="1">
      <alignment horizontal="center" vertical="center"/>
    </xf>
    <xf numFmtId="0" fontId="1" fillId="3" borderId="2"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2" xfId="11" applyNumberFormat="1" applyFont="1" applyFill="1" applyBorder="1" applyAlignment="1">
      <alignment horizontal="center" vertical="center"/>
    </xf>
    <xf numFmtId="165" fontId="1" fillId="3" borderId="5" xfId="0" applyNumberFormat="1" applyFont="1" applyFill="1" applyBorder="1" applyAlignment="1">
      <alignment horizontal="center" vertical="center"/>
    </xf>
    <xf numFmtId="165" fontId="1" fillId="0" borderId="2" xfId="13" applyNumberFormat="1" applyFont="1" applyFill="1" applyBorder="1" applyAlignment="1" applyProtection="1">
      <alignment horizontal="center" vertical="center"/>
    </xf>
    <xf numFmtId="2" fontId="1" fillId="3" borderId="5" xfId="0" applyNumberFormat="1" applyFont="1" applyFill="1" applyBorder="1" applyAlignment="1" applyProtection="1">
      <alignment horizontal="center" vertical="center"/>
      <protection locked="0"/>
    </xf>
    <xf numFmtId="3" fontId="1" fillId="3" borderId="5" xfId="14" applyNumberFormat="1" applyFont="1" applyFill="1" applyBorder="1" applyAlignment="1" applyProtection="1">
      <alignment horizontal="center" vertical="center"/>
      <protection locked="0"/>
    </xf>
    <xf numFmtId="0" fontId="2" fillId="3" borderId="5" xfId="0" applyFont="1" applyFill="1" applyBorder="1" applyAlignment="1" applyProtection="1">
      <alignment horizontal="center" vertical="center"/>
      <protection locked="0"/>
    </xf>
    <xf numFmtId="10" fontId="1" fillId="0" borderId="2" xfId="11" applyNumberFormat="1" applyFont="1" applyBorder="1" applyAlignment="1">
      <alignment horizontal="center" vertical="center"/>
    </xf>
    <xf numFmtId="165" fontId="1" fillId="0" borderId="41" xfId="0" applyNumberFormat="1" applyFont="1" applyBorder="1" applyAlignment="1">
      <alignment horizontal="center" vertical="center"/>
    </xf>
    <xf numFmtId="0" fontId="18" fillId="0" borderId="1" xfId="12" applyFont="1" applyFill="1" applyBorder="1"/>
    <xf numFmtId="165" fontId="3" fillId="0" borderId="10" xfId="0" applyNumberFormat="1" applyFont="1" applyBorder="1" applyAlignment="1">
      <alignment horizontal="center" vertical="center"/>
    </xf>
    <xf numFmtId="165" fontId="6" fillId="0" borderId="41" xfId="0" applyNumberFormat="1" applyFont="1" applyBorder="1" applyAlignment="1">
      <alignment horizontal="center" vertical="center"/>
    </xf>
    <xf numFmtId="0" fontId="2" fillId="0" borderId="42" xfId="0" applyFont="1" applyBorder="1" applyAlignment="1">
      <alignment horizontal="center" vertical="center"/>
    </xf>
    <xf numFmtId="165" fontId="2" fillId="0" borderId="35" xfId="0" applyNumberFormat="1" applyFont="1" applyBorder="1" applyAlignment="1">
      <alignment horizontal="center" vertical="center"/>
    </xf>
    <xf numFmtId="165" fontId="3" fillId="0" borderId="34" xfId="0" applyNumberFormat="1" applyFont="1" applyBorder="1" applyAlignment="1">
      <alignment horizontal="center" vertical="center"/>
    </xf>
    <xf numFmtId="0" fontId="1" fillId="0" borderId="0" xfId="0" applyFont="1" applyAlignment="1">
      <alignment horizontal="center"/>
    </xf>
    <xf numFmtId="165" fontId="2" fillId="0" borderId="43" xfId="0" applyNumberFormat="1" applyFont="1" applyBorder="1" applyAlignment="1">
      <alignment horizontal="center" vertical="center"/>
    </xf>
    <xf numFmtId="165" fontId="3" fillId="0" borderId="44" xfId="0" applyNumberFormat="1" applyFont="1" applyBorder="1" applyAlignment="1">
      <alignment horizontal="center" vertical="center"/>
    </xf>
    <xf numFmtId="0" fontId="21" fillId="0" borderId="1" xfId="12" applyFont="1" applyFill="1" applyBorder="1"/>
    <xf numFmtId="0" fontId="18" fillId="0" borderId="11" xfId="12" applyFont="1" applyFill="1" applyBorder="1"/>
    <xf numFmtId="165" fontId="3" fillId="0" borderId="22" xfId="0" applyNumberFormat="1" applyFont="1" applyBorder="1" applyAlignment="1">
      <alignment horizontal="center" vertical="center"/>
    </xf>
    <xf numFmtId="0" fontId="0" fillId="0" borderId="45" xfId="0" applyBorder="1" applyAlignment="1">
      <alignment horizontal="center" vertical="center"/>
    </xf>
    <xf numFmtId="165" fontId="0" fillId="0" borderId="45" xfId="0" applyNumberFormat="1" applyBorder="1" applyAlignment="1">
      <alignment horizontal="center" vertical="center"/>
    </xf>
    <xf numFmtId="165" fontId="0" fillId="0" borderId="46" xfId="0" applyNumberFormat="1" applyBorder="1" applyAlignment="1">
      <alignment horizontal="center" vertical="center"/>
    </xf>
    <xf numFmtId="0" fontId="18" fillId="0" borderId="9" xfId="12" applyFont="1" applyFill="1" applyBorder="1"/>
    <xf numFmtId="165" fontId="6" fillId="0" borderId="10" xfId="0" applyNumberFormat="1" applyFont="1" applyBorder="1" applyAlignment="1">
      <alignment horizontal="center" vertical="center"/>
    </xf>
    <xf numFmtId="0" fontId="2" fillId="0" borderId="47" xfId="0" applyFont="1" applyBorder="1" applyAlignment="1">
      <alignment horizontal="left" vertical="center"/>
    </xf>
    <xf numFmtId="0" fontId="2" fillId="0" borderId="13" xfId="0" applyFont="1" applyBorder="1" applyAlignment="1">
      <alignment horizontal="center" vertical="center"/>
    </xf>
    <xf numFmtId="165" fontId="2" fillId="0" borderId="13" xfId="0" applyNumberFormat="1" applyFont="1" applyBorder="1" applyAlignment="1">
      <alignment horizontal="center" vertical="center"/>
    </xf>
    <xf numFmtId="165" fontId="3" fillId="0" borderId="48" xfId="0" applyNumberFormat="1" applyFont="1" applyBorder="1" applyAlignment="1">
      <alignment horizontal="center" vertical="center"/>
    </xf>
    <xf numFmtId="0" fontId="1" fillId="0" borderId="7" xfId="0" applyFont="1" applyBorder="1" applyAlignment="1">
      <alignment horizontal="center" vertical="center"/>
    </xf>
    <xf numFmtId="165" fontId="1" fillId="0" borderId="7" xfId="0" applyNumberFormat="1" applyFont="1" applyBorder="1" applyAlignment="1">
      <alignment horizontal="center" vertical="center"/>
    </xf>
    <xf numFmtId="165" fontId="6" fillId="0" borderId="8" xfId="0" applyNumberFormat="1" applyFont="1" applyBorder="1" applyAlignment="1">
      <alignment horizontal="center" vertical="center"/>
    </xf>
    <xf numFmtId="0" fontId="1" fillId="0" borderId="47" xfId="0" applyFont="1" applyBorder="1" applyAlignment="1">
      <alignment horizontal="left" vertical="center"/>
    </xf>
    <xf numFmtId="165" fontId="3" fillId="0" borderId="49" xfId="0" applyNumberFormat="1" applyFont="1" applyBorder="1" applyAlignment="1">
      <alignment horizontal="center" vertical="center"/>
    </xf>
    <xf numFmtId="0" fontId="6" fillId="0" borderId="0" xfId="0" applyFont="1" applyAlignment="1">
      <alignment horizontal="center" vertical="center"/>
    </xf>
    <xf numFmtId="0" fontId="15" fillId="0" borderId="0" xfId="12" applyFont="1" applyAlignment="1">
      <alignment horizontal="center" vertical="center"/>
    </xf>
    <xf numFmtId="0" fontId="4" fillId="0" borderId="0" xfId="12" applyAlignment="1">
      <alignment horizontal="center" vertical="center"/>
    </xf>
    <xf numFmtId="0" fontId="2" fillId="0" borderId="14" xfId="0" applyFont="1" applyBorder="1" applyAlignment="1">
      <alignment vertical="center"/>
    </xf>
    <xf numFmtId="0" fontId="2" fillId="0" borderId="15" xfId="0" applyFont="1" applyBorder="1" applyAlignment="1">
      <alignment vertical="center"/>
    </xf>
    <xf numFmtId="0" fontId="2" fillId="0" borderId="36" xfId="0" applyFont="1" applyBorder="1" applyAlignment="1">
      <alignment vertical="center"/>
    </xf>
    <xf numFmtId="0" fontId="4" fillId="0" borderId="0" xfId="12" applyFill="1" applyAlignment="1">
      <alignment horizontal="left" wrapText="1"/>
    </xf>
    <xf numFmtId="165" fontId="4" fillId="0" borderId="0" xfId="12" applyNumberFormat="1" applyFill="1" applyAlignment="1">
      <alignment horizontal="left" vertical="center" wrapText="1"/>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14" xfId="0" applyFont="1" applyBorder="1" applyAlignment="1">
      <alignment horizontal="left" vertical="center"/>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0" borderId="19" xfId="0" applyFont="1" applyBorder="1" applyAlignment="1">
      <alignment horizontal="left" vertical="center"/>
    </xf>
    <xf numFmtId="0" fontId="3" fillId="0" borderId="0" xfId="0" applyFont="1" applyAlignment="1">
      <alignment horizontal="center" vertical="center" wrapText="1"/>
    </xf>
    <xf numFmtId="0" fontId="0" fillId="0" borderId="0" xfId="0" applyAlignment="1">
      <alignment horizontal="center" vertical="center" wrapText="1"/>
    </xf>
    <xf numFmtId="0" fontId="4" fillId="0" borderId="0" xfId="12" applyAlignment="1">
      <alignment horizontal="left" wrapText="1"/>
    </xf>
  </cellXfs>
  <cellStyles count="15">
    <cellStyle name="Comma" xfId="14" builtinId="3"/>
    <cellStyle name="Currency" xfId="13" builtinId="4"/>
    <cellStyle name="Followed Hyperlink" xfId="6" builtinId="9" hidden="1"/>
    <cellStyle name="Followed Hyperlink" xfId="8" builtinId="9" hidden="1"/>
    <cellStyle name="Followed Hyperlink" xfId="10" builtinId="9" hidden="1"/>
    <cellStyle name="Followed Hyperlink" xfId="4" builtinId="9" hidden="1"/>
    <cellStyle name="Followed Hyperlink" xfId="2" builtinId="9" hidden="1"/>
    <cellStyle name="Hyperlink" xfId="9" builtinId="8" hidden="1"/>
    <cellStyle name="Hyperlink" xfId="5" builtinId="8" hidden="1"/>
    <cellStyle name="Hyperlink" xfId="7" builtinId="8" hidden="1"/>
    <cellStyle name="Hyperlink" xfId="3" builtinId="8" hidden="1"/>
    <cellStyle name="Hyperlink" xfId="1" builtinId="8" hidden="1"/>
    <cellStyle name="Hyperlink" xfId="12" builtinId="8"/>
    <cellStyle name="Normal" xfId="0" builtinId="0"/>
    <cellStyle name="Percent" xfId="11"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jpe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6</xdr:row>
      <xdr:rowOff>0</xdr:rowOff>
    </xdr:from>
    <xdr:to>
      <xdr:col>6</xdr:col>
      <xdr:colOff>304800</xdr:colOff>
      <xdr:row>7</xdr:row>
      <xdr:rowOff>63978</xdr:rowOff>
    </xdr:to>
    <xdr:sp macro="" textlink="">
      <xdr:nvSpPr>
        <xdr:cNvPr id="1025" name="AutoShape 1" descr="Image result for UPRM">
          <a:extLst>
            <a:ext uri="{FF2B5EF4-FFF2-40B4-BE49-F238E27FC236}">
              <a16:creationId xmlns:a16="http://schemas.microsoft.com/office/drawing/2014/main" id="{00000000-0008-0000-0000-000001040000}"/>
            </a:ext>
          </a:extLst>
        </xdr:cNvPr>
        <xdr:cNvSpPr>
          <a:spLocks noChangeAspect="1" noChangeArrowheads="1"/>
        </xdr:cNvSpPr>
      </xdr:nvSpPr>
      <xdr:spPr bwMode="auto">
        <a:xfrm>
          <a:off x="9020175" y="127635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twoCellAnchor editAs="oneCell">
    <xdr:from>
      <xdr:col>0</xdr:col>
      <xdr:colOff>127000</xdr:colOff>
      <xdr:row>0</xdr:row>
      <xdr:rowOff>19050</xdr:rowOff>
    </xdr:from>
    <xdr:to>
      <xdr:col>0</xdr:col>
      <xdr:colOff>1142999</xdr:colOff>
      <xdr:row>5</xdr:row>
      <xdr:rowOff>1148</xdr:rowOff>
    </xdr:to>
    <xdr:pic>
      <xdr:nvPicPr>
        <xdr:cNvPr id="3" name="Picture 2" descr="Image result for UPRM">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19050"/>
          <a:ext cx="1015999" cy="1022525"/>
        </a:xfrm>
        <a:prstGeom prst="rect">
          <a:avLst/>
        </a:prstGeom>
        <a:noFill/>
        <a:extLst>
          <a:ext uri="{909E8E84-426E-40dd-AFC4-6F175D3DCCD1}">
            <a14:hiddenFill xmlns:a14="http://schemas.microsoft.com/office/drawing/2010/main" xmlns="">
              <a:solidFill>
                <a:srgbClr val="FFFFFF"/>
              </a:solidFill>
            </a14:hiddenFill>
          </a:ext>
        </a:extLst>
      </xdr:spPr>
    </xdr:pic>
    <xdr:clientData/>
  </xdr:twoCellAnchor>
  <xdr:twoCellAnchor editAs="oneCell">
    <xdr:from>
      <xdr:col>0</xdr:col>
      <xdr:colOff>476250</xdr:colOff>
      <xdr:row>117</xdr:row>
      <xdr:rowOff>1288824</xdr:rowOff>
    </xdr:from>
    <xdr:to>
      <xdr:col>0</xdr:col>
      <xdr:colOff>1906133</xdr:colOff>
      <xdr:row>124</xdr:row>
      <xdr:rowOff>64658</xdr:rowOff>
    </xdr:to>
    <xdr:pic>
      <xdr:nvPicPr>
        <xdr:cNvPr id="4" name="Imagen 3" descr="Centro de Tecnología y Administración para Agricultores">
          <a:extLst>
            <a:ext uri="{FF2B5EF4-FFF2-40B4-BE49-F238E27FC236}">
              <a16:creationId xmlns:a16="http://schemas.microsoft.com/office/drawing/2014/main" id="{68C6AA02-DE5C-9697-86E8-240290EC7DD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6250" y="26853924"/>
          <a:ext cx="1429883" cy="1378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610304</xdr:colOff>
      <xdr:row>117</xdr:row>
      <xdr:rowOff>1276350</xdr:rowOff>
    </xdr:from>
    <xdr:to>
      <xdr:col>4</xdr:col>
      <xdr:colOff>248504</xdr:colOff>
      <xdr:row>125</xdr:row>
      <xdr:rowOff>1651</xdr:rowOff>
    </xdr:to>
    <xdr:pic>
      <xdr:nvPicPr>
        <xdr:cNvPr id="7" name="Picture 6">
          <a:extLst>
            <a:ext uri="{FF2B5EF4-FFF2-40B4-BE49-F238E27FC236}">
              <a16:creationId xmlns:a16="http://schemas.microsoft.com/office/drawing/2014/main" id="{25A9775A-F8D5-4708-9364-8F6F02CF9096}"/>
            </a:ext>
          </a:extLst>
        </xdr:cNvPr>
        <xdr:cNvPicPr>
          <a:picLocks noChangeAspect="1"/>
        </xdr:cNvPicPr>
      </xdr:nvPicPr>
      <xdr:blipFill>
        <a:blip xmlns:r="http://schemas.openxmlformats.org/officeDocument/2006/relationships" r:embed="rId3"/>
        <a:stretch>
          <a:fillRect/>
        </a:stretch>
      </xdr:blipFill>
      <xdr:spPr>
        <a:xfrm>
          <a:off x="7582604" y="26841450"/>
          <a:ext cx="1137708" cy="1521569"/>
        </a:xfrm>
        <a:prstGeom prst="rect">
          <a:avLst/>
        </a:prstGeom>
      </xdr:spPr>
    </xdr:pic>
    <xdr:clientData/>
  </xdr:twoCellAnchor>
  <xdr:twoCellAnchor editAs="oneCell">
    <xdr:from>
      <xdr:col>1</xdr:col>
      <xdr:colOff>1148291</xdr:colOff>
      <xdr:row>117</xdr:row>
      <xdr:rowOff>1350862</xdr:rowOff>
    </xdr:from>
    <xdr:to>
      <xdr:col>2</xdr:col>
      <xdr:colOff>695826</xdr:colOff>
      <xdr:row>124</xdr:row>
      <xdr:rowOff>8248</xdr:rowOff>
    </xdr:to>
    <xdr:pic>
      <xdr:nvPicPr>
        <xdr:cNvPr id="8" name="Picture 7">
          <a:extLst>
            <a:ext uri="{FF2B5EF4-FFF2-40B4-BE49-F238E27FC236}">
              <a16:creationId xmlns:a16="http://schemas.microsoft.com/office/drawing/2014/main" id="{8808A7A0-7611-4527-BFB9-306BED81D77F}"/>
            </a:ext>
          </a:extLst>
        </xdr:cNvPr>
        <xdr:cNvPicPr>
          <a:picLocks noChangeAspect="1"/>
        </xdr:cNvPicPr>
      </xdr:nvPicPr>
      <xdr:blipFill>
        <a:blip xmlns:r="http://schemas.openxmlformats.org/officeDocument/2006/relationships" r:embed="rId4"/>
        <a:stretch>
          <a:fillRect/>
        </a:stretch>
      </xdr:blipFill>
      <xdr:spPr>
        <a:xfrm>
          <a:off x="5996516" y="26915962"/>
          <a:ext cx="836154" cy="1255012"/>
        </a:xfrm>
        <a:prstGeom prst="rect">
          <a:avLst/>
        </a:prstGeom>
      </xdr:spPr>
    </xdr:pic>
    <xdr:clientData/>
  </xdr:twoCellAnchor>
  <xdr:twoCellAnchor editAs="oneCell">
    <xdr:from>
      <xdr:col>0</xdr:col>
      <xdr:colOff>2276475</xdr:colOff>
      <xdr:row>117</xdr:row>
      <xdr:rowOff>1364971</xdr:rowOff>
    </xdr:from>
    <xdr:to>
      <xdr:col>0</xdr:col>
      <xdr:colOff>3456282</xdr:colOff>
      <xdr:row>123</xdr:row>
      <xdr:rowOff>151460</xdr:rowOff>
    </xdr:to>
    <xdr:pic>
      <xdr:nvPicPr>
        <xdr:cNvPr id="9" name="Picture 8" descr="University of Puerto Rico - Wikipedia">
          <a:extLst>
            <a:ext uri="{FF2B5EF4-FFF2-40B4-BE49-F238E27FC236}">
              <a16:creationId xmlns:a16="http://schemas.microsoft.com/office/drawing/2014/main" id="{5B944D38-014A-4AC0-9F58-9D2431B6CB56}"/>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76475" y="26930071"/>
          <a:ext cx="1182506" cy="11867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4135350</xdr:colOff>
      <xdr:row>118</xdr:row>
      <xdr:rowOff>27945</xdr:rowOff>
    </xdr:from>
    <xdr:to>
      <xdr:col>1</xdr:col>
      <xdr:colOff>419191</xdr:colOff>
      <xdr:row>123</xdr:row>
      <xdr:rowOff>168906</xdr:rowOff>
    </xdr:to>
    <xdr:pic>
      <xdr:nvPicPr>
        <xdr:cNvPr id="10" name="Picture 9" descr="Marca y logotipos del Recinto Universitario de Mayagüez de la Universidad  de Puerto Rico – Acerca del RUM">
          <a:extLst>
            <a:ext uri="{FF2B5EF4-FFF2-40B4-BE49-F238E27FC236}">
              <a16:creationId xmlns:a16="http://schemas.microsoft.com/office/drawing/2014/main" id="{5DED9A40-2626-41EC-B92B-212D5FBE4C6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4135350" y="26993220"/>
          <a:ext cx="1132066" cy="1146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762705</xdr:colOff>
      <xdr:row>118</xdr:row>
      <xdr:rowOff>19125</xdr:rowOff>
    </xdr:from>
    <xdr:to>
      <xdr:col>6</xdr:col>
      <xdr:colOff>296809</xdr:colOff>
      <xdr:row>123</xdr:row>
      <xdr:rowOff>141459</xdr:rowOff>
    </xdr:to>
    <xdr:pic>
      <xdr:nvPicPr>
        <xdr:cNvPr id="11" name="Picture 10">
          <a:extLst>
            <a:ext uri="{FF2B5EF4-FFF2-40B4-BE49-F238E27FC236}">
              <a16:creationId xmlns:a16="http://schemas.microsoft.com/office/drawing/2014/main" id="{CE094565-D7B4-402A-9B78-1FE8D262221A}"/>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239955" y="26984400"/>
          <a:ext cx="1632303" cy="11306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6</xdr:row>
      <xdr:rowOff>0</xdr:rowOff>
    </xdr:from>
    <xdr:to>
      <xdr:col>6</xdr:col>
      <xdr:colOff>304800</xdr:colOff>
      <xdr:row>7</xdr:row>
      <xdr:rowOff>63976</xdr:rowOff>
    </xdr:to>
    <xdr:sp macro="" textlink="">
      <xdr:nvSpPr>
        <xdr:cNvPr id="12" name="AutoShape 1" descr="Image result for UPRM">
          <a:extLst>
            <a:ext uri="{FF2B5EF4-FFF2-40B4-BE49-F238E27FC236}">
              <a16:creationId xmlns:a16="http://schemas.microsoft.com/office/drawing/2014/main" id="{C69B30B9-24F8-40DC-BB46-F749888C6CC1}"/>
            </a:ext>
          </a:extLst>
        </xdr:cNvPr>
        <xdr:cNvSpPr>
          <a:spLocks noChangeAspect="1" noChangeArrowheads="1"/>
        </xdr:cNvSpPr>
      </xdr:nvSpPr>
      <xdr:spPr bwMode="auto">
        <a:xfrm>
          <a:off x="10296525" y="1276350"/>
          <a:ext cx="304800" cy="304800"/>
        </a:xfrm>
        <a:prstGeom prst="rect">
          <a:avLst/>
        </a:prstGeom>
        <a:noFill/>
        <a:extLst>
          <a:ext uri="{909E8E84-426E-40dd-AFC4-6F175D3DCCD1}">
            <a14:hiddenFill xmlns:a14="http://schemas.microsoft.com/office/drawing/2010/main" xmlns="">
              <a:solidFill>
                <a:srgbClr val="FFFFFF"/>
              </a:solidFill>
            </a14:hiddenFill>
          </a:ext>
        </a:extLst>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23"/>
  <sheetViews>
    <sheetView tabSelected="1" zoomScaleNormal="100" zoomScalePageLayoutView="150" workbookViewId="0">
      <selection activeCell="B89" sqref="B89"/>
    </sheetView>
  </sheetViews>
  <sheetFormatPr defaultColWidth="8.875" defaultRowHeight="15.75" x14ac:dyDescent="0.25"/>
  <cols>
    <col min="1" max="1" width="63.625" style="3" customWidth="1"/>
    <col min="2" max="2" width="16.875" style="10" customWidth="1"/>
    <col min="3" max="3" width="11" style="10" customWidth="1"/>
    <col min="4" max="4" width="19.75" style="12" bestFit="1" customWidth="1"/>
    <col min="5" max="5" width="15.125" style="12" bestFit="1" customWidth="1"/>
    <col min="6" max="6" width="12.375" style="12" customWidth="1"/>
    <col min="7" max="16384" width="8.875" style="3"/>
  </cols>
  <sheetData>
    <row r="1" spans="1:9" x14ac:dyDescent="0.25">
      <c r="A1" s="155" t="s">
        <v>0</v>
      </c>
      <c r="B1" s="155"/>
      <c r="C1" s="155"/>
      <c r="D1" s="155"/>
      <c r="E1" s="155"/>
    </row>
    <row r="2" spans="1:9" x14ac:dyDescent="0.25">
      <c r="A2" s="155" t="s">
        <v>1</v>
      </c>
      <c r="B2" s="155"/>
      <c r="C2" s="155"/>
      <c r="D2" s="155"/>
      <c r="E2" s="155"/>
    </row>
    <row r="3" spans="1:9" x14ac:dyDescent="0.25">
      <c r="A3" s="155" t="s">
        <v>2</v>
      </c>
      <c r="B3" s="155"/>
      <c r="C3" s="155"/>
      <c r="D3" s="155"/>
      <c r="E3" s="155"/>
    </row>
    <row r="5" spans="1:9" ht="18.75" x14ac:dyDescent="0.25">
      <c r="A5" s="156" t="s">
        <v>69</v>
      </c>
      <c r="B5" s="157"/>
      <c r="C5" s="157"/>
      <c r="D5" s="157"/>
      <c r="E5" s="157"/>
      <c r="F5" s="89"/>
      <c r="G5" s="1"/>
      <c r="I5" s="2"/>
    </row>
    <row r="6" spans="1:9" ht="18.75" x14ac:dyDescent="0.25">
      <c r="A6" s="23"/>
      <c r="B6" s="28"/>
      <c r="C6" s="23"/>
      <c r="D6" s="23"/>
      <c r="E6" s="90"/>
      <c r="F6" s="89"/>
      <c r="G6" s="1"/>
      <c r="H6" s="2"/>
      <c r="I6" s="2"/>
    </row>
    <row r="7" spans="1:9" ht="18.75" x14ac:dyDescent="0.25">
      <c r="A7" s="24" t="s">
        <v>111</v>
      </c>
      <c r="B7" s="23"/>
      <c r="C7" s="23"/>
      <c r="D7" s="23"/>
      <c r="E7" s="90"/>
      <c r="F7" s="89"/>
      <c r="G7"/>
      <c r="H7"/>
      <c r="I7" s="2"/>
    </row>
    <row r="8" spans="1:9" ht="18.75" x14ac:dyDescent="0.25">
      <c r="A8" s="24" t="s">
        <v>110</v>
      </c>
      <c r="B8" s="23"/>
      <c r="C8" s="23"/>
      <c r="D8" s="23"/>
      <c r="E8" s="23"/>
      <c r="F8" s="41"/>
      <c r="G8"/>
      <c r="H8"/>
      <c r="I8" s="2"/>
    </row>
    <row r="9" spans="1:9" x14ac:dyDescent="0.25">
      <c r="A9" s="4"/>
      <c r="B9" s="5"/>
      <c r="C9" s="5"/>
      <c r="D9" s="11"/>
      <c r="E9" s="11"/>
      <c r="F9" s="89"/>
      <c r="G9" s="1"/>
      <c r="H9" s="2"/>
      <c r="I9" s="2"/>
    </row>
    <row r="10" spans="1:9" ht="16.5" thickBot="1" x14ac:dyDescent="0.3">
      <c r="A10" s="4"/>
      <c r="B10" s="5"/>
      <c r="C10" s="5"/>
      <c r="D10" s="11"/>
      <c r="F10" s="89"/>
      <c r="G10" s="1"/>
      <c r="H10" s="2"/>
      <c r="I10" s="2"/>
    </row>
    <row r="11" spans="1:9" ht="16.5" thickBot="1" x14ac:dyDescent="0.3">
      <c r="A11" s="158" t="s">
        <v>77</v>
      </c>
      <c r="B11" s="159"/>
      <c r="C11" s="159"/>
      <c r="D11" s="159"/>
      <c r="E11" s="159"/>
      <c r="F11" s="160"/>
      <c r="G11" s="1"/>
      <c r="H11" s="2"/>
      <c r="I11" s="2"/>
    </row>
    <row r="12" spans="1:9" ht="19.5" thickBot="1" x14ac:dyDescent="0.3">
      <c r="A12" s="51" t="s">
        <v>3</v>
      </c>
      <c r="B12" s="25" t="s">
        <v>5</v>
      </c>
      <c r="C12" s="25" t="s">
        <v>4</v>
      </c>
      <c r="D12" s="52" t="s">
        <v>6</v>
      </c>
      <c r="E12" s="52" t="s">
        <v>7</v>
      </c>
      <c r="F12" s="91" t="s">
        <v>107</v>
      </c>
      <c r="G12" s="1"/>
      <c r="H12" s="2"/>
      <c r="I12" s="2"/>
    </row>
    <row r="13" spans="1:9" ht="18.75" x14ac:dyDescent="0.25">
      <c r="A13" s="129" t="s">
        <v>70</v>
      </c>
      <c r="B13" s="112">
        <v>1057</v>
      </c>
      <c r="C13" s="27" t="s">
        <v>8</v>
      </c>
      <c r="D13" s="114">
        <v>0.3</v>
      </c>
      <c r="E13" s="80">
        <f>D13*B13</f>
        <v>317.09999999999997</v>
      </c>
      <c r="F13" s="137">
        <f>E13-317.1</f>
        <v>0</v>
      </c>
      <c r="G13" s="1"/>
      <c r="I13" s="2"/>
    </row>
    <row r="14" spans="1:9" ht="18.75" x14ac:dyDescent="0.25">
      <c r="A14" s="138" t="s">
        <v>93</v>
      </c>
      <c r="B14" s="113">
        <v>1</v>
      </c>
      <c r="C14" s="59"/>
      <c r="D14" s="115">
        <v>10</v>
      </c>
      <c r="E14" s="18">
        <f>B14*D14</f>
        <v>10</v>
      </c>
      <c r="F14" s="137">
        <f>E14-10</f>
        <v>0</v>
      </c>
      <c r="G14" s="1"/>
      <c r="I14" s="2"/>
    </row>
    <row r="15" spans="1:9" ht="18.75" x14ac:dyDescent="0.25">
      <c r="A15" s="139" t="s">
        <v>82</v>
      </c>
      <c r="B15" s="113">
        <v>2</v>
      </c>
      <c r="C15" s="19" t="s">
        <v>78</v>
      </c>
      <c r="D15" s="115">
        <f>(11+11+11+29.97)/4</f>
        <v>15.7425</v>
      </c>
      <c r="E15" s="18">
        <f>D15*B15</f>
        <v>31.484999999999999</v>
      </c>
      <c r="F15" s="137">
        <f>E15-31.49</f>
        <v>-4.9999999999990052E-3</v>
      </c>
      <c r="G15" s="1"/>
      <c r="I15" s="2"/>
    </row>
    <row r="16" spans="1:9" ht="18.75" x14ac:dyDescent="0.25">
      <c r="A16" s="139" t="s">
        <v>83</v>
      </c>
      <c r="B16" s="113">
        <v>160</v>
      </c>
      <c r="C16" s="15" t="s">
        <v>9</v>
      </c>
      <c r="D16" s="115">
        <f>(31.65+55+55)/3</f>
        <v>47.216666666666669</v>
      </c>
      <c r="E16" s="18">
        <f>+D16*B16</f>
        <v>7554.666666666667</v>
      </c>
      <c r="F16" s="137">
        <f>E16-7554.67</f>
        <v>-3.333333333102928E-3</v>
      </c>
      <c r="G16" s="1"/>
      <c r="I16" s="2"/>
    </row>
    <row r="17" spans="1:9" x14ac:dyDescent="0.25">
      <c r="A17" s="16" t="s">
        <v>10</v>
      </c>
      <c r="B17" s="113">
        <v>2</v>
      </c>
      <c r="C17" s="15" t="s">
        <v>11</v>
      </c>
      <c r="D17" s="115">
        <f>(29.9+40+40+89.7)/4</f>
        <v>49.900000000000006</v>
      </c>
      <c r="E17" s="18">
        <f>D17*B17</f>
        <v>99.800000000000011</v>
      </c>
      <c r="F17" s="137">
        <f>E17-99.8</f>
        <v>0</v>
      </c>
      <c r="G17" s="1"/>
      <c r="I17" s="2"/>
    </row>
    <row r="18" spans="1:9" ht="18.75" x14ac:dyDescent="0.25">
      <c r="A18" s="129" t="s">
        <v>84</v>
      </c>
      <c r="B18" s="59" t="s">
        <v>12</v>
      </c>
      <c r="C18" s="15" t="s">
        <v>12</v>
      </c>
      <c r="D18" s="60" t="s">
        <v>12</v>
      </c>
      <c r="E18" s="116">
        <v>650</v>
      </c>
      <c r="F18" s="137">
        <f>E18-650</f>
        <v>0</v>
      </c>
      <c r="G18" s="1"/>
      <c r="I18" s="2"/>
    </row>
    <row r="19" spans="1:9" x14ac:dyDescent="0.25">
      <c r="A19" s="16" t="s">
        <v>13</v>
      </c>
      <c r="B19" s="113">
        <v>1</v>
      </c>
      <c r="C19" s="15" t="s">
        <v>14</v>
      </c>
      <c r="D19" s="115">
        <f>(163+130+130+(185/450)*300)/4</f>
        <v>136.58333333333334</v>
      </c>
      <c r="E19" s="18">
        <f>D19*B19</f>
        <v>136.58333333333334</v>
      </c>
      <c r="F19" s="137">
        <f>E19-136.58</f>
        <v>3.3333333333303017E-3</v>
      </c>
      <c r="G19" s="1"/>
      <c r="I19" s="2"/>
    </row>
    <row r="20" spans="1:9" ht="18.75" x14ac:dyDescent="0.25">
      <c r="A20" s="129" t="s">
        <v>85</v>
      </c>
      <c r="B20" s="113">
        <v>0.5</v>
      </c>
      <c r="C20" s="15" t="s">
        <v>15</v>
      </c>
      <c r="D20" s="115">
        <f>(189+180+180+166)/4</f>
        <v>178.75</v>
      </c>
      <c r="E20" s="18">
        <f>D20*B20</f>
        <v>89.375</v>
      </c>
      <c r="F20" s="137">
        <f>E20-89.38</f>
        <v>-4.9999999999954525E-3</v>
      </c>
      <c r="G20" s="1"/>
      <c r="I20" s="2"/>
    </row>
    <row r="21" spans="1:9" x14ac:dyDescent="0.25">
      <c r="A21" s="16" t="s">
        <v>16</v>
      </c>
      <c r="B21" s="113">
        <v>17</v>
      </c>
      <c r="C21" s="15" t="s">
        <v>8</v>
      </c>
      <c r="D21" s="115">
        <f>(2.5+0.35+0.35+0.64)/4</f>
        <v>0.96000000000000008</v>
      </c>
      <c r="E21" s="18">
        <f>D21*B21</f>
        <v>16.32</v>
      </c>
      <c r="F21" s="137">
        <f>E21-16.32</f>
        <v>0</v>
      </c>
      <c r="G21" s="1"/>
      <c r="I21" s="2"/>
    </row>
    <row r="22" spans="1:9" x14ac:dyDescent="0.25">
      <c r="A22" s="16" t="s">
        <v>17</v>
      </c>
      <c r="B22" s="113">
        <v>17</v>
      </c>
      <c r="C22" s="15" t="s">
        <v>8</v>
      </c>
      <c r="D22" s="115">
        <f>(0.64+0.35+0.35+1.5)/4</f>
        <v>0.71</v>
      </c>
      <c r="E22" s="18">
        <f>D22*B22</f>
        <v>12.07</v>
      </c>
      <c r="F22" s="137">
        <f>E22-12.07</f>
        <v>0</v>
      </c>
      <c r="G22" s="1"/>
      <c r="I22" s="2"/>
    </row>
    <row r="23" spans="1:9" ht="18.75" x14ac:dyDescent="0.25">
      <c r="A23" s="129" t="s">
        <v>86</v>
      </c>
      <c r="B23" s="59" t="s">
        <v>12</v>
      </c>
      <c r="C23" s="15" t="s">
        <v>12</v>
      </c>
      <c r="D23" s="60" t="s">
        <v>12</v>
      </c>
      <c r="E23" s="116">
        <v>120</v>
      </c>
      <c r="F23" s="137">
        <f>E23-120</f>
        <v>0</v>
      </c>
      <c r="G23" s="1"/>
      <c r="I23" s="2"/>
    </row>
    <row r="24" spans="1:9" x14ac:dyDescent="0.25">
      <c r="A24" s="16" t="s">
        <v>79</v>
      </c>
      <c r="B24" s="113">
        <v>3000</v>
      </c>
      <c r="C24" s="15" t="s">
        <v>8</v>
      </c>
      <c r="D24" s="115">
        <v>1.05</v>
      </c>
      <c r="E24" s="18">
        <f>D24*B24</f>
        <v>3150</v>
      </c>
      <c r="F24" s="137">
        <f>E24-3150</f>
        <v>0</v>
      </c>
      <c r="G24" s="1"/>
      <c r="I24" s="2"/>
    </row>
    <row r="25" spans="1:9" ht="16.5" thickBot="1" x14ac:dyDescent="0.3">
      <c r="A25" s="168" t="s">
        <v>18</v>
      </c>
      <c r="B25" s="169"/>
      <c r="C25" s="169"/>
      <c r="D25" s="169"/>
      <c r="E25" s="86">
        <f>SUM(E13:E24)</f>
        <v>12187.4</v>
      </c>
      <c r="F25" s="140">
        <f>E25-12187.4</f>
        <v>0</v>
      </c>
      <c r="G25" s="1"/>
      <c r="I25" s="2"/>
    </row>
    <row r="26" spans="1:9" ht="16.5" thickBot="1" x14ac:dyDescent="0.3">
      <c r="A26" s="54"/>
      <c r="B26" s="55"/>
      <c r="C26" s="55"/>
      <c r="D26" s="56"/>
      <c r="E26" s="82"/>
      <c r="F26" s="134"/>
      <c r="G26" s="1"/>
      <c r="H26" s="2"/>
      <c r="I26" s="2"/>
    </row>
    <row r="27" spans="1:9" ht="19.5" thickBot="1" x14ac:dyDescent="0.3">
      <c r="A27" s="57" t="s">
        <v>87</v>
      </c>
      <c r="B27" s="118" t="s">
        <v>19</v>
      </c>
      <c r="C27" s="25" t="s">
        <v>4</v>
      </c>
      <c r="D27" s="52" t="s">
        <v>20</v>
      </c>
      <c r="E27" s="53" t="s">
        <v>7</v>
      </c>
      <c r="F27" s="92" t="s">
        <v>108</v>
      </c>
      <c r="G27" s="1"/>
      <c r="H27" s="2"/>
      <c r="I27" s="2"/>
    </row>
    <row r="28" spans="1:9" x14ac:dyDescent="0.25">
      <c r="A28" s="117" t="s">
        <v>21</v>
      </c>
      <c r="B28" s="119">
        <v>10</v>
      </c>
      <c r="C28" s="61" t="s">
        <v>22</v>
      </c>
      <c r="D28" s="114">
        <v>10.25</v>
      </c>
      <c r="E28" s="83">
        <f>+D28*B28</f>
        <v>102.5</v>
      </c>
      <c r="F28" s="130">
        <f>E28-102.5</f>
        <v>0</v>
      </c>
      <c r="G28" s="1"/>
      <c r="H28" s="2"/>
      <c r="I28" s="2"/>
    </row>
    <row r="29" spans="1:9" x14ac:dyDescent="0.25">
      <c r="A29" s="33" t="s">
        <v>23</v>
      </c>
      <c r="B29" s="119">
        <v>6</v>
      </c>
      <c r="C29" s="62" t="s">
        <v>22</v>
      </c>
      <c r="D29" s="115">
        <v>10.25</v>
      </c>
      <c r="E29" s="83">
        <f t="shared" ref="E29:E36" si="0">+D29*B29</f>
        <v>61.5</v>
      </c>
      <c r="F29" s="130">
        <f>E29-61.5</f>
        <v>0</v>
      </c>
      <c r="G29" s="1"/>
      <c r="H29" s="2"/>
      <c r="I29" s="2"/>
    </row>
    <row r="30" spans="1:9" x14ac:dyDescent="0.25">
      <c r="A30" s="33" t="s">
        <v>24</v>
      </c>
      <c r="B30" s="119">
        <v>12</v>
      </c>
      <c r="C30" s="62" t="s">
        <v>22</v>
      </c>
      <c r="D30" s="115">
        <v>10.25</v>
      </c>
      <c r="E30" s="83">
        <f t="shared" si="0"/>
        <v>123</v>
      </c>
      <c r="F30" s="130">
        <f>E30-123</f>
        <v>0</v>
      </c>
      <c r="G30" s="1"/>
      <c r="H30" s="2"/>
      <c r="I30" s="2"/>
    </row>
    <row r="31" spans="1:9" x14ac:dyDescent="0.25">
      <c r="A31" s="33" t="s">
        <v>25</v>
      </c>
      <c r="B31" s="119">
        <v>72</v>
      </c>
      <c r="C31" s="62" t="s">
        <v>22</v>
      </c>
      <c r="D31" s="115">
        <v>10.25</v>
      </c>
      <c r="E31" s="83">
        <f t="shared" si="0"/>
        <v>738</v>
      </c>
      <c r="F31" s="130">
        <f>E31-738</f>
        <v>0</v>
      </c>
      <c r="G31" s="1"/>
      <c r="H31" s="2"/>
      <c r="I31" s="2"/>
    </row>
    <row r="32" spans="1:9" x14ac:dyDescent="0.25">
      <c r="A32" s="33" t="s">
        <v>26</v>
      </c>
      <c r="B32" s="119">
        <v>30</v>
      </c>
      <c r="C32" s="62" t="s">
        <v>22</v>
      </c>
      <c r="D32" s="115">
        <v>10.25</v>
      </c>
      <c r="E32" s="83">
        <f t="shared" si="0"/>
        <v>307.5</v>
      </c>
      <c r="F32" s="130">
        <f>E32-307.5</f>
        <v>0</v>
      </c>
      <c r="G32" s="1"/>
      <c r="H32" s="2"/>
      <c r="I32" s="2"/>
    </row>
    <row r="33" spans="1:9" x14ac:dyDescent="0.25">
      <c r="A33" s="33" t="s">
        <v>27</v>
      </c>
      <c r="B33" s="119">
        <v>8</v>
      </c>
      <c r="C33" s="62" t="s">
        <v>22</v>
      </c>
      <c r="D33" s="115">
        <v>10.25</v>
      </c>
      <c r="E33" s="83">
        <f t="shared" si="0"/>
        <v>82</v>
      </c>
      <c r="F33" s="130">
        <f>E33-82</f>
        <v>0</v>
      </c>
      <c r="G33" s="1"/>
      <c r="H33" s="2"/>
      <c r="I33" s="2"/>
    </row>
    <row r="34" spans="1:9" x14ac:dyDescent="0.25">
      <c r="A34" s="33" t="s">
        <v>28</v>
      </c>
      <c r="B34" s="119">
        <v>6</v>
      </c>
      <c r="C34" s="62" t="s">
        <v>22</v>
      </c>
      <c r="D34" s="115">
        <v>10.25</v>
      </c>
      <c r="E34" s="83">
        <f>+D34*B34</f>
        <v>61.5</v>
      </c>
      <c r="F34" s="130">
        <f>E34-61.5</f>
        <v>0</v>
      </c>
      <c r="G34" s="1"/>
      <c r="H34" s="2"/>
      <c r="I34" s="2"/>
    </row>
    <row r="35" spans="1:9" x14ac:dyDescent="0.25">
      <c r="A35" s="33" t="s">
        <v>29</v>
      </c>
      <c r="B35" s="119">
        <v>120</v>
      </c>
      <c r="C35" s="62" t="s">
        <v>22</v>
      </c>
      <c r="D35" s="115">
        <v>10.25</v>
      </c>
      <c r="E35" s="83">
        <f t="shared" si="0"/>
        <v>1230</v>
      </c>
      <c r="F35" s="130">
        <f>E35-1230</f>
        <v>0</v>
      </c>
      <c r="G35" s="1"/>
      <c r="H35" s="2"/>
      <c r="I35" s="2"/>
    </row>
    <row r="36" spans="1:9" x14ac:dyDescent="0.25">
      <c r="A36" s="33" t="s">
        <v>30</v>
      </c>
      <c r="B36" s="119">
        <v>450</v>
      </c>
      <c r="C36" s="62" t="s">
        <v>22</v>
      </c>
      <c r="D36" s="115">
        <v>10.25</v>
      </c>
      <c r="E36" s="83">
        <f t="shared" si="0"/>
        <v>4612.5</v>
      </c>
      <c r="F36" s="130">
        <f>E36-4612.5</f>
        <v>0</v>
      </c>
      <c r="G36" s="1"/>
      <c r="H36" s="2"/>
      <c r="I36" s="2"/>
    </row>
    <row r="37" spans="1:9" x14ac:dyDescent="0.25">
      <c r="A37" s="33" t="s">
        <v>31</v>
      </c>
      <c r="B37" s="119">
        <v>200</v>
      </c>
      <c r="C37" s="62" t="s">
        <v>22</v>
      </c>
      <c r="D37" s="115">
        <v>10.25</v>
      </c>
      <c r="E37" s="83">
        <f>+D37*B37</f>
        <v>2050</v>
      </c>
      <c r="F37" s="130">
        <f>E37-2050</f>
        <v>0</v>
      </c>
      <c r="G37" s="1"/>
      <c r="H37" s="2"/>
      <c r="I37" s="2"/>
    </row>
    <row r="38" spans="1:9" x14ac:dyDescent="0.25">
      <c r="A38" s="33" t="s">
        <v>32</v>
      </c>
      <c r="B38" s="119">
        <v>2</v>
      </c>
      <c r="C38" s="62" t="s">
        <v>22</v>
      </c>
      <c r="D38" s="115">
        <v>10.25</v>
      </c>
      <c r="E38" s="83">
        <f>+D38*B38</f>
        <v>20.5</v>
      </c>
      <c r="F38" s="130">
        <f>E38-20.5</f>
        <v>0</v>
      </c>
      <c r="G38" s="1"/>
      <c r="H38" s="2"/>
      <c r="I38" s="2"/>
    </row>
    <row r="39" spans="1:9" ht="18.75" x14ac:dyDescent="0.25">
      <c r="A39" s="129" t="s">
        <v>88</v>
      </c>
      <c r="B39" s="70">
        <v>0.2</v>
      </c>
      <c r="C39" s="135" t="s">
        <v>74</v>
      </c>
      <c r="D39" s="60">
        <f>SUM(E28:E38)</f>
        <v>9389</v>
      </c>
      <c r="E39" s="83">
        <f>+D39*B39</f>
        <v>1877.8000000000002</v>
      </c>
      <c r="F39" s="130">
        <f>E39-1877.8</f>
        <v>0</v>
      </c>
      <c r="G39" s="1"/>
      <c r="H39" s="2"/>
      <c r="I39" s="2"/>
    </row>
    <row r="40" spans="1:9" ht="16.5" thickBot="1" x14ac:dyDescent="0.3">
      <c r="A40" s="170" t="s">
        <v>33</v>
      </c>
      <c r="B40" s="171"/>
      <c r="C40" s="171"/>
      <c r="D40" s="172"/>
      <c r="E40" s="136">
        <f>SUM(E28:E39)</f>
        <v>11266.8</v>
      </c>
      <c r="F40" s="131">
        <f>E40-11266.8</f>
        <v>0</v>
      </c>
      <c r="G40" s="1"/>
      <c r="H40" s="2"/>
      <c r="I40" s="2"/>
    </row>
    <row r="41" spans="1:9" x14ac:dyDescent="0.25">
      <c r="A41" s="14"/>
      <c r="B41" s="100"/>
      <c r="C41" s="100"/>
      <c r="D41" s="132"/>
      <c r="E41" s="133"/>
      <c r="F41" s="134"/>
      <c r="G41" s="1"/>
      <c r="H41" s="2"/>
      <c r="I41" s="2"/>
    </row>
    <row r="42" spans="1:9" ht="19.5" thickBot="1" x14ac:dyDescent="0.3">
      <c r="A42" s="44" t="s">
        <v>89</v>
      </c>
      <c r="B42" s="49"/>
      <c r="C42" s="49"/>
      <c r="D42" s="50"/>
      <c r="E42" s="84"/>
      <c r="F42" s="63"/>
      <c r="G42" s="1"/>
      <c r="H42" s="2"/>
      <c r="I42" s="2"/>
    </row>
    <row r="43" spans="1:9" ht="16.5" thickBot="1" x14ac:dyDescent="0.3">
      <c r="A43" s="51" t="s">
        <v>3</v>
      </c>
      <c r="B43" s="25" t="s">
        <v>34</v>
      </c>
      <c r="C43" s="25" t="s">
        <v>4</v>
      </c>
      <c r="D43" s="52" t="s">
        <v>35</v>
      </c>
      <c r="E43" s="53" t="s">
        <v>7</v>
      </c>
      <c r="F43" s="92" t="s">
        <v>108</v>
      </c>
      <c r="G43" s="1"/>
      <c r="H43" s="2"/>
      <c r="I43" s="2"/>
    </row>
    <row r="44" spans="1:9" ht="18.75" x14ac:dyDescent="0.25">
      <c r="A44" s="129" t="s">
        <v>90</v>
      </c>
      <c r="B44" s="120">
        <v>8</v>
      </c>
      <c r="C44" s="27" t="s">
        <v>22</v>
      </c>
      <c r="D44" s="122">
        <v>50</v>
      </c>
      <c r="E44" s="85">
        <f>+D44*B44</f>
        <v>400</v>
      </c>
      <c r="F44" s="130">
        <f>E44-400</f>
        <v>0</v>
      </c>
      <c r="G44" s="1"/>
      <c r="H44" s="2"/>
      <c r="I44" s="2"/>
    </row>
    <row r="45" spans="1:9" x14ac:dyDescent="0.25">
      <c r="A45" s="17" t="s">
        <v>25</v>
      </c>
      <c r="B45" s="119">
        <v>1</v>
      </c>
      <c r="C45" s="15" t="s">
        <v>22</v>
      </c>
      <c r="D45" s="122">
        <v>50</v>
      </c>
      <c r="E45" s="85">
        <f t="shared" ref="E45:E47" si="1">+D45*B45</f>
        <v>50</v>
      </c>
      <c r="F45" s="130">
        <f>E45-50</f>
        <v>0</v>
      </c>
      <c r="G45" s="1"/>
      <c r="H45" s="2"/>
      <c r="I45" s="2"/>
    </row>
    <row r="46" spans="1:9" x14ac:dyDescent="0.25">
      <c r="A46" s="16" t="s">
        <v>36</v>
      </c>
      <c r="B46" s="119">
        <v>4</v>
      </c>
      <c r="C46" s="15" t="s">
        <v>22</v>
      </c>
      <c r="D46" s="122">
        <v>50</v>
      </c>
      <c r="E46" s="85">
        <f t="shared" si="1"/>
        <v>200</v>
      </c>
      <c r="F46" s="130">
        <f>E46-200</f>
        <v>0</v>
      </c>
      <c r="G46" s="1"/>
      <c r="H46" s="2"/>
      <c r="I46" s="2"/>
    </row>
    <row r="47" spans="1:9" x14ac:dyDescent="0.25">
      <c r="A47" s="16" t="s">
        <v>30</v>
      </c>
      <c r="B47" s="121">
        <v>3</v>
      </c>
      <c r="C47" s="15" t="s">
        <v>22</v>
      </c>
      <c r="D47" s="122">
        <v>50</v>
      </c>
      <c r="E47" s="85">
        <f t="shared" si="1"/>
        <v>150</v>
      </c>
      <c r="F47" s="130">
        <f>E47-150</f>
        <v>0</v>
      </c>
      <c r="G47" s="1"/>
      <c r="H47" s="2"/>
      <c r="I47" s="2"/>
    </row>
    <row r="48" spans="1:9" ht="16.5" thickBot="1" x14ac:dyDescent="0.3">
      <c r="A48" s="16" t="s">
        <v>37</v>
      </c>
      <c r="B48" s="113">
        <v>2</v>
      </c>
      <c r="C48" s="15" t="s">
        <v>22</v>
      </c>
      <c r="D48" s="122">
        <v>50</v>
      </c>
      <c r="E48" s="85">
        <f>+D48*B48</f>
        <v>100</v>
      </c>
      <c r="F48" s="130">
        <f>E48-100</f>
        <v>0</v>
      </c>
      <c r="G48" s="6"/>
      <c r="H48" s="2"/>
      <c r="I48" s="2"/>
    </row>
    <row r="49" spans="1:9" ht="16.5" thickBot="1" x14ac:dyDescent="0.3">
      <c r="A49" s="165" t="s">
        <v>38</v>
      </c>
      <c r="B49" s="166"/>
      <c r="C49" s="166"/>
      <c r="D49" s="167"/>
      <c r="E49" s="53">
        <f>SUM(E44:E48)</f>
        <v>900</v>
      </c>
      <c r="F49" s="131">
        <f>E49-750</f>
        <v>150</v>
      </c>
      <c r="G49" s="1"/>
      <c r="H49" s="2"/>
      <c r="I49" s="2"/>
    </row>
    <row r="50" spans="1:9" x14ac:dyDescent="0.25">
      <c r="A50" s="14"/>
      <c r="B50" s="100"/>
      <c r="C50" s="100"/>
      <c r="D50" s="100"/>
      <c r="E50" s="67"/>
      <c r="F50" s="42"/>
      <c r="G50" s="1"/>
      <c r="H50" s="2"/>
      <c r="I50" s="2"/>
    </row>
    <row r="51" spans="1:9" ht="16.5" thickBot="1" x14ac:dyDescent="0.3">
      <c r="D51" s="10"/>
      <c r="G51" s="1"/>
      <c r="H51" s="2"/>
      <c r="I51" s="2"/>
    </row>
    <row r="52" spans="1:9" ht="16.5" thickBot="1" x14ac:dyDescent="0.3">
      <c r="A52" s="20" t="s">
        <v>39</v>
      </c>
      <c r="B52" s="64"/>
      <c r="C52" s="64"/>
      <c r="D52" s="65"/>
      <c r="E52" s="65"/>
      <c r="F52" s="93"/>
      <c r="G52" s="1"/>
      <c r="H52" s="2"/>
      <c r="I52" s="2"/>
    </row>
    <row r="53" spans="1:9" ht="16.5" thickBot="1" x14ac:dyDescent="0.3">
      <c r="A53" s="46" t="s">
        <v>3</v>
      </c>
      <c r="B53" s="25" t="s">
        <v>40</v>
      </c>
      <c r="C53" s="25" t="s">
        <v>4</v>
      </c>
      <c r="D53" s="25" t="s">
        <v>41</v>
      </c>
      <c r="E53" s="52" t="s">
        <v>42</v>
      </c>
      <c r="F53" s="92" t="s">
        <v>108</v>
      </c>
      <c r="G53" s="1"/>
      <c r="H53" s="2"/>
      <c r="I53" s="2"/>
    </row>
    <row r="54" spans="1:9" ht="18.75" x14ac:dyDescent="0.25">
      <c r="A54" s="144" t="s">
        <v>91</v>
      </c>
      <c r="B54" s="47" t="s">
        <v>12</v>
      </c>
      <c r="C54" s="27" t="s">
        <v>12</v>
      </c>
      <c r="D54" s="48" t="s">
        <v>12</v>
      </c>
      <c r="E54" s="80">
        <v>110</v>
      </c>
      <c r="F54" s="130">
        <f>E54-110</f>
        <v>0</v>
      </c>
      <c r="G54" s="1"/>
      <c r="H54" s="2"/>
      <c r="I54" s="2"/>
    </row>
    <row r="55" spans="1:9" ht="18.75" x14ac:dyDescent="0.25">
      <c r="A55" s="139" t="s">
        <v>92</v>
      </c>
      <c r="B55" s="15" t="s">
        <v>12</v>
      </c>
      <c r="C55" s="59" t="s">
        <v>12</v>
      </c>
      <c r="D55" s="60" t="s">
        <v>12</v>
      </c>
      <c r="E55" s="18">
        <v>100</v>
      </c>
      <c r="F55" s="130">
        <f>E55-100</f>
        <v>0</v>
      </c>
      <c r="G55" s="1"/>
      <c r="H55" s="2"/>
      <c r="I55" s="2"/>
    </row>
    <row r="56" spans="1:9" x14ac:dyDescent="0.25">
      <c r="A56" s="16" t="s">
        <v>43</v>
      </c>
      <c r="B56" s="15" t="s">
        <v>12</v>
      </c>
      <c r="C56" s="59" t="s">
        <v>12</v>
      </c>
      <c r="D56" s="60" t="s">
        <v>12</v>
      </c>
      <c r="E56" s="18">
        <v>50</v>
      </c>
      <c r="F56" s="130">
        <f>E56-50</f>
        <v>0</v>
      </c>
      <c r="G56" s="1"/>
      <c r="H56" s="2"/>
      <c r="I56" s="2"/>
    </row>
    <row r="57" spans="1:9" x14ac:dyDescent="0.25">
      <c r="A57" s="16" t="s">
        <v>44</v>
      </c>
      <c r="B57" s="15" t="s">
        <v>12</v>
      </c>
      <c r="C57" s="59" t="s">
        <v>12</v>
      </c>
      <c r="D57" s="60" t="s">
        <v>12</v>
      </c>
      <c r="E57" s="18">
        <v>50</v>
      </c>
      <c r="F57" s="130">
        <f>E57-50</f>
        <v>0</v>
      </c>
      <c r="G57" s="1"/>
      <c r="H57" s="2"/>
      <c r="I57" s="2"/>
    </row>
    <row r="58" spans="1:9" x14ac:dyDescent="0.25">
      <c r="A58" s="16" t="s">
        <v>112</v>
      </c>
      <c r="B58" s="127">
        <v>9.2499999999999999E-2</v>
      </c>
      <c r="C58" s="59" t="s">
        <v>47</v>
      </c>
      <c r="D58" s="60">
        <f>E49+E40+E25</f>
        <v>24354.199999999997</v>
      </c>
      <c r="E58" s="18">
        <f>B58*D58</f>
        <v>2252.7634999999996</v>
      </c>
      <c r="F58" s="130">
        <f>E58-2252.76</f>
        <v>3.4999999993488018E-3</v>
      </c>
      <c r="G58" s="1"/>
      <c r="H58" s="2"/>
      <c r="I58" s="2"/>
    </row>
    <row r="59" spans="1:9" x14ac:dyDescent="0.25">
      <c r="A59" s="16" t="s">
        <v>45</v>
      </c>
      <c r="B59" s="34">
        <v>0.1</v>
      </c>
      <c r="C59" s="15" t="s">
        <v>47</v>
      </c>
      <c r="D59" s="123">
        <f>SUM(E54:E57)+E49+E40+E25</f>
        <v>24664.199999999997</v>
      </c>
      <c r="E59" s="18">
        <f>D59*B59</f>
        <v>2466.42</v>
      </c>
      <c r="F59" s="130">
        <f>E59-2466.42</f>
        <v>0</v>
      </c>
      <c r="G59" s="1"/>
      <c r="H59" s="2"/>
      <c r="I59" s="2"/>
    </row>
    <row r="60" spans="1:9" x14ac:dyDescent="0.25">
      <c r="A60" s="16" t="s">
        <v>46</v>
      </c>
      <c r="B60" s="34">
        <v>7.0000000000000007E-2</v>
      </c>
      <c r="C60" s="15" t="s">
        <v>47</v>
      </c>
      <c r="D60" s="18">
        <f>SUM(E54:E57)+E49+E40+E25</f>
        <v>24664.199999999997</v>
      </c>
      <c r="E60" s="18">
        <f>+D60*B60</f>
        <v>1726.4939999999999</v>
      </c>
      <c r="F60" s="130">
        <f>E60-1726.49</f>
        <v>3.9999999999054126E-3</v>
      </c>
      <c r="G60" s="1"/>
      <c r="H60" s="2"/>
      <c r="I60" s="2"/>
    </row>
    <row r="61" spans="1:9" x14ac:dyDescent="0.25">
      <c r="A61" s="163" t="s">
        <v>48</v>
      </c>
      <c r="B61" s="164"/>
      <c r="C61" s="164"/>
      <c r="D61" s="164"/>
      <c r="E61" s="81">
        <f>SUM(E54:E60)</f>
        <v>6755.6774999999989</v>
      </c>
      <c r="F61" s="145">
        <f>E61-6755.68</f>
        <v>-2.5000000014188117E-3</v>
      </c>
      <c r="G61" s="1"/>
      <c r="H61" s="2"/>
      <c r="I61" s="2"/>
    </row>
    <row r="62" spans="1:9" ht="16.5" thickBot="1" x14ac:dyDescent="0.3">
      <c r="A62" s="146"/>
      <c r="B62" s="147"/>
      <c r="C62" s="147"/>
      <c r="D62" s="147"/>
      <c r="E62" s="148"/>
      <c r="F62" s="149"/>
      <c r="G62" s="1"/>
      <c r="H62" s="2"/>
      <c r="I62" s="2"/>
    </row>
    <row r="63" spans="1:9" ht="16.5" thickBot="1" x14ac:dyDescent="0.3">
      <c r="A63" s="51" t="s">
        <v>49</v>
      </c>
      <c r="B63" s="150"/>
      <c r="C63" s="150"/>
      <c r="D63" s="151"/>
      <c r="E63" s="52">
        <f>SUM(E25+E40+E49+E61)</f>
        <v>31109.877499999995</v>
      </c>
      <c r="F63" s="152">
        <f>E63-31109.88</f>
        <v>-2.5000000059662852E-3</v>
      </c>
      <c r="G63" s="1"/>
      <c r="H63" s="2"/>
      <c r="I63" s="2"/>
    </row>
    <row r="64" spans="1:9" ht="21" thickBot="1" x14ac:dyDescent="0.3">
      <c r="A64" s="14"/>
      <c r="B64" s="5"/>
      <c r="C64" s="5"/>
      <c r="D64" s="11"/>
      <c r="E64" s="43"/>
      <c r="F64" s="43"/>
      <c r="G64" s="39"/>
      <c r="H64" s="39"/>
      <c r="I64" s="2"/>
    </row>
    <row r="65" spans="1:11" ht="16.5" thickBot="1" x14ac:dyDescent="0.3">
      <c r="A65" s="45" t="s">
        <v>50</v>
      </c>
      <c r="B65" s="141"/>
      <c r="C65" s="141"/>
      <c r="D65" s="142"/>
      <c r="E65" s="142"/>
      <c r="F65" s="143"/>
      <c r="G65" s="1"/>
      <c r="H65" s="2"/>
      <c r="I65" s="2"/>
    </row>
    <row r="66" spans="1:11" ht="16.5" thickBot="1" x14ac:dyDescent="0.3">
      <c r="A66" s="46" t="s">
        <v>3</v>
      </c>
      <c r="B66" s="25" t="s">
        <v>5</v>
      </c>
      <c r="C66" s="25" t="s">
        <v>4</v>
      </c>
      <c r="D66" s="25" t="s">
        <v>51</v>
      </c>
      <c r="E66" s="52" t="s">
        <v>42</v>
      </c>
      <c r="F66" s="92" t="s">
        <v>108</v>
      </c>
      <c r="G66" s="1"/>
      <c r="H66" s="71"/>
      <c r="I66" s="71"/>
      <c r="J66" s="72"/>
      <c r="K66" s="72"/>
    </row>
    <row r="67" spans="1:11" x14ac:dyDescent="0.25">
      <c r="A67" s="26" t="s">
        <v>52</v>
      </c>
      <c r="B67" s="125">
        <v>2250</v>
      </c>
      <c r="C67" s="104" t="s">
        <v>113</v>
      </c>
      <c r="D67" s="124">
        <v>16.399999999999999</v>
      </c>
      <c r="E67" s="80">
        <f>+D67*B67</f>
        <v>36900</v>
      </c>
      <c r="F67" s="130">
        <f>E67-36900</f>
        <v>0</v>
      </c>
      <c r="G67" s="1"/>
      <c r="H67" s="71"/>
      <c r="I67" s="71"/>
      <c r="J67" s="72"/>
      <c r="K67" s="72"/>
    </row>
    <row r="68" spans="1:11" ht="16.5" thickBot="1" x14ac:dyDescent="0.3">
      <c r="A68" s="153" t="s">
        <v>53</v>
      </c>
      <c r="B68" s="49">
        <f>SUM(B28:B38)</f>
        <v>916</v>
      </c>
      <c r="C68" s="49" t="s">
        <v>22</v>
      </c>
      <c r="D68" s="49">
        <v>2.72</v>
      </c>
      <c r="E68" s="56">
        <f>+D68*B68</f>
        <v>2491.52</v>
      </c>
      <c r="F68" s="154">
        <f>E68-2491.52</f>
        <v>0</v>
      </c>
      <c r="G68" s="1"/>
      <c r="H68" s="2"/>
      <c r="I68" s="2"/>
    </row>
    <row r="69" spans="1:11" ht="16.5" thickBot="1" x14ac:dyDescent="0.3">
      <c r="A69" s="51" t="s">
        <v>54</v>
      </c>
      <c r="B69" s="25"/>
      <c r="C69" s="25"/>
      <c r="D69" s="25"/>
      <c r="E69" s="52">
        <f>SUM(E67:E68)</f>
        <v>39391.519999999997</v>
      </c>
      <c r="F69" s="152">
        <f>E69-39391.52</f>
        <v>0</v>
      </c>
      <c r="G69" s="1"/>
      <c r="H69" s="2"/>
      <c r="I69" s="2"/>
    </row>
    <row r="70" spans="1:11" ht="16.5" thickBot="1" x14ac:dyDescent="0.3">
      <c r="A70" s="14"/>
      <c r="B70" s="100"/>
      <c r="C70" s="100"/>
      <c r="D70" s="100"/>
      <c r="E70" s="67"/>
      <c r="F70" s="89"/>
      <c r="G70" s="1"/>
      <c r="H70" s="2"/>
      <c r="I70" s="2"/>
    </row>
    <row r="71" spans="1:11" x14ac:dyDescent="0.25">
      <c r="A71" s="73" t="s">
        <v>55</v>
      </c>
      <c r="B71" s="105"/>
      <c r="C71" s="96">
        <f>D77/B67</f>
        <v>13.82661222222222</v>
      </c>
      <c r="D71" s="66"/>
      <c r="E71" s="89"/>
      <c r="F71" s="89"/>
      <c r="G71" s="2"/>
      <c r="H71" s="2"/>
    </row>
    <row r="72" spans="1:11" ht="16.5" thickBot="1" x14ac:dyDescent="0.3">
      <c r="A72" s="32" t="s">
        <v>80</v>
      </c>
      <c r="B72" s="101"/>
      <c r="C72" s="97">
        <f>ROUNDUP((D77/D67),0)</f>
        <v>1897</v>
      </c>
      <c r="D72" s="67"/>
      <c r="E72" s="89"/>
      <c r="F72" s="89"/>
      <c r="G72" s="2"/>
      <c r="H72" s="2"/>
    </row>
    <row r="73" spans="1:11" ht="16.5" thickBot="1" x14ac:dyDescent="0.3">
      <c r="A73" s="14"/>
      <c r="B73" s="100"/>
      <c r="C73" s="100"/>
      <c r="D73" s="100"/>
      <c r="E73" s="67"/>
      <c r="F73" s="89"/>
      <c r="G73" s="1"/>
      <c r="H73" s="2"/>
      <c r="I73" s="2"/>
    </row>
    <row r="74" spans="1:11" ht="16.5" thickBot="1" x14ac:dyDescent="0.3">
      <c r="A74" s="35" t="s">
        <v>56</v>
      </c>
      <c r="B74" s="21"/>
      <c r="C74" s="31"/>
      <c r="D74" s="25" t="s">
        <v>57</v>
      </c>
      <c r="E74" s="92" t="s">
        <v>108</v>
      </c>
      <c r="F74" s="89"/>
      <c r="G74" s="1"/>
      <c r="H74" s="2"/>
      <c r="I74" s="2"/>
    </row>
    <row r="75" spans="1:11" x14ac:dyDescent="0.25">
      <c r="A75" s="40" t="s">
        <v>58</v>
      </c>
      <c r="B75" s="106"/>
      <c r="C75" s="107"/>
      <c r="D75" s="126">
        <v>1</v>
      </c>
      <c r="E75" s="94">
        <f>D75-1</f>
        <v>0</v>
      </c>
      <c r="F75" s="89"/>
      <c r="G75" s="1"/>
      <c r="H75" s="2"/>
      <c r="I75" s="2"/>
    </row>
    <row r="76" spans="1:11" x14ac:dyDescent="0.25">
      <c r="A76" s="30" t="s">
        <v>59</v>
      </c>
      <c r="B76" s="108"/>
      <c r="C76" s="109"/>
      <c r="D76" s="18">
        <f>+E69</f>
        <v>39391.519999999997</v>
      </c>
      <c r="E76" s="94">
        <f>D76-39391.52</f>
        <v>0</v>
      </c>
      <c r="F76" s="89"/>
      <c r="G76" s="1"/>
      <c r="H76" s="2"/>
      <c r="I76" s="2"/>
    </row>
    <row r="77" spans="1:11" x14ac:dyDescent="0.25">
      <c r="A77" s="30" t="s">
        <v>81</v>
      </c>
      <c r="B77" s="108"/>
      <c r="C77" s="109"/>
      <c r="D77" s="18">
        <f>+E63</f>
        <v>31109.877499999995</v>
      </c>
      <c r="E77" s="94">
        <f>D77-31109.88</f>
        <v>-2.5000000059662852E-3</v>
      </c>
      <c r="F77" s="89"/>
      <c r="G77" s="1"/>
      <c r="H77" s="2"/>
      <c r="I77" s="2"/>
    </row>
    <row r="78" spans="1:11" x14ac:dyDescent="0.25">
      <c r="A78" s="30" t="s">
        <v>60</v>
      </c>
      <c r="B78" s="108"/>
      <c r="C78" s="109"/>
      <c r="D78" s="18">
        <f>(D76-D77)</f>
        <v>8281.6425000000017</v>
      </c>
      <c r="E78" s="94">
        <f>D78-8281.64</f>
        <v>2.5000000023283064E-3</v>
      </c>
      <c r="F78" s="89"/>
      <c r="G78" s="1"/>
      <c r="H78" s="2"/>
      <c r="I78" s="2"/>
    </row>
    <row r="79" spans="1:11" ht="18.75" x14ac:dyDescent="0.25">
      <c r="A79" s="68" t="s">
        <v>75</v>
      </c>
      <c r="B79" s="103"/>
      <c r="C79" s="99"/>
      <c r="D79" s="50">
        <f>+C71</f>
        <v>13.82661222222222</v>
      </c>
      <c r="E79" s="94">
        <f>D79-13.83</f>
        <v>-3.3877777777799878E-3</v>
      </c>
      <c r="F79" s="89"/>
      <c r="G79" s="1"/>
      <c r="H79" s="2"/>
      <c r="I79" s="2"/>
    </row>
    <row r="80" spans="1:11" ht="19.5" thickBot="1" x14ac:dyDescent="0.3">
      <c r="A80" s="69" t="s">
        <v>76</v>
      </c>
      <c r="B80" s="110"/>
      <c r="C80" s="111"/>
      <c r="D80" s="98">
        <f>C72</f>
        <v>1897</v>
      </c>
      <c r="E80" s="128">
        <f>D80-1897</f>
        <v>0</v>
      </c>
      <c r="F80" s="89"/>
      <c r="G80" s="1"/>
      <c r="H80" s="2"/>
      <c r="I80" s="2"/>
    </row>
    <row r="81" spans="1:9" x14ac:dyDescent="0.25">
      <c r="F81" s="89"/>
      <c r="G81" s="1"/>
      <c r="H81" s="2"/>
      <c r="I81" s="2"/>
    </row>
    <row r="82" spans="1:9" x14ac:dyDescent="0.25">
      <c r="A82" s="14" t="s">
        <v>61</v>
      </c>
      <c r="B82" s="100"/>
      <c r="C82" s="100"/>
      <c r="D82" s="100"/>
      <c r="E82" s="67"/>
      <c r="F82" s="89"/>
      <c r="G82" s="1"/>
      <c r="H82" s="2"/>
      <c r="I82" s="2"/>
    </row>
    <row r="83" spans="1:9" x14ac:dyDescent="0.25">
      <c r="A83" s="6" t="s">
        <v>62</v>
      </c>
      <c r="B83" s="5"/>
      <c r="C83" s="5"/>
      <c r="D83" s="5"/>
      <c r="E83" s="11"/>
      <c r="F83" s="89"/>
      <c r="G83" s="1"/>
      <c r="H83" s="2"/>
      <c r="I83" s="2"/>
    </row>
    <row r="84" spans="1:9" x14ac:dyDescent="0.25">
      <c r="A84" s="6" t="s">
        <v>63</v>
      </c>
      <c r="B84" s="5"/>
      <c r="C84" s="5"/>
      <c r="D84" s="5"/>
      <c r="E84" s="11"/>
      <c r="F84" s="89"/>
      <c r="G84" s="1"/>
      <c r="H84" s="2"/>
      <c r="I84" s="2"/>
    </row>
    <row r="85" spans="1:9" x14ac:dyDescent="0.25">
      <c r="A85" s="6"/>
      <c r="B85" s="5"/>
      <c r="C85" s="5"/>
      <c r="D85" s="5"/>
      <c r="E85" s="11"/>
      <c r="F85" s="89"/>
      <c r="G85" s="1"/>
      <c r="H85" s="2"/>
      <c r="I85" s="2"/>
    </row>
    <row r="86" spans="1:9" x14ac:dyDescent="0.25">
      <c r="A86" s="14" t="s">
        <v>64</v>
      </c>
      <c r="B86" s="5"/>
      <c r="C86" s="5"/>
      <c r="D86" s="5"/>
      <c r="E86" s="11"/>
      <c r="F86" s="89"/>
      <c r="G86" s="1"/>
      <c r="H86" s="2"/>
      <c r="I86" s="2"/>
    </row>
    <row r="87" spans="1:9" x14ac:dyDescent="0.25">
      <c r="A87" s="6" t="s">
        <v>114</v>
      </c>
      <c r="B87" s="5"/>
      <c r="C87" s="5"/>
      <c r="D87" s="5"/>
      <c r="E87" s="11"/>
      <c r="F87" s="89"/>
      <c r="G87" s="1"/>
      <c r="H87" s="2"/>
      <c r="I87" s="2"/>
    </row>
    <row r="88" spans="1:9" x14ac:dyDescent="0.25">
      <c r="A88" s="6" t="s">
        <v>71</v>
      </c>
      <c r="B88" s="5"/>
      <c r="C88" s="5"/>
      <c r="D88" s="5"/>
      <c r="E88" s="11"/>
      <c r="F88" s="89"/>
      <c r="G88" s="1"/>
      <c r="H88" s="2"/>
      <c r="I88" s="2"/>
    </row>
    <row r="89" spans="1:9" x14ac:dyDescent="0.25">
      <c r="A89" s="6"/>
      <c r="B89" s="5"/>
      <c r="C89" s="5"/>
      <c r="D89" s="5"/>
      <c r="E89" s="11"/>
      <c r="F89" s="89"/>
      <c r="G89" s="1"/>
      <c r="H89" s="2"/>
      <c r="I89" s="2"/>
    </row>
    <row r="90" spans="1:9" x14ac:dyDescent="0.25">
      <c r="A90" s="14" t="s">
        <v>121</v>
      </c>
      <c r="B90" s="100"/>
      <c r="C90" s="100"/>
      <c r="D90" s="100"/>
      <c r="E90" s="67"/>
      <c r="F90" s="89"/>
      <c r="G90" s="1"/>
      <c r="H90" s="2"/>
      <c r="I90" s="2"/>
    </row>
    <row r="91" spans="1:9" x14ac:dyDescent="0.25">
      <c r="A91" s="6" t="s">
        <v>116</v>
      </c>
      <c r="B91" s="100"/>
      <c r="C91" s="100"/>
      <c r="D91" s="100"/>
      <c r="E91" s="67"/>
      <c r="F91" s="89"/>
      <c r="G91" s="1"/>
      <c r="H91" s="2"/>
      <c r="I91" s="2"/>
    </row>
    <row r="92" spans="1:9" x14ac:dyDescent="0.25">
      <c r="A92" s="6" t="s">
        <v>117</v>
      </c>
      <c r="B92" s="100"/>
      <c r="C92" s="100"/>
      <c r="D92" s="100"/>
      <c r="E92" s="67"/>
      <c r="F92" s="89"/>
      <c r="G92" s="1"/>
      <c r="H92" s="2"/>
      <c r="I92" s="2"/>
    </row>
    <row r="93" spans="1:9" x14ac:dyDescent="0.25">
      <c r="A93" s="6" t="s">
        <v>118</v>
      </c>
      <c r="B93" s="100"/>
      <c r="C93" s="100"/>
      <c r="D93" s="100"/>
      <c r="E93" s="67"/>
      <c r="F93" s="89"/>
      <c r="G93" s="1"/>
      <c r="H93" s="2"/>
      <c r="I93" s="2"/>
    </row>
    <row r="94" spans="1:9" x14ac:dyDescent="0.25">
      <c r="A94" s="6" t="s">
        <v>119</v>
      </c>
      <c r="B94" s="100"/>
      <c r="C94" s="100"/>
      <c r="D94" s="100"/>
      <c r="E94" s="67"/>
      <c r="F94" s="89"/>
      <c r="G94" s="1"/>
      <c r="H94" s="2"/>
      <c r="I94" s="2"/>
    </row>
    <row r="95" spans="1:9" x14ac:dyDescent="0.25">
      <c r="A95" s="6" t="s">
        <v>120</v>
      </c>
      <c r="B95" s="100"/>
      <c r="C95" s="100"/>
      <c r="D95" s="100"/>
      <c r="E95" s="67"/>
      <c r="F95" s="89"/>
      <c r="G95" s="1"/>
      <c r="H95" s="2"/>
      <c r="I95" s="2"/>
    </row>
    <row r="96" spans="1:9" x14ac:dyDescent="0.25">
      <c r="F96" s="89"/>
      <c r="G96" s="1"/>
      <c r="H96" s="2"/>
      <c r="I96" s="2"/>
    </row>
    <row r="97" spans="1:17" ht="34.15" customHeight="1" x14ac:dyDescent="0.25">
      <c r="A97" s="22" t="s">
        <v>115</v>
      </c>
      <c r="B97" s="74"/>
      <c r="C97" s="74"/>
      <c r="D97" s="74"/>
      <c r="E97" s="42"/>
      <c r="F97" s="89"/>
      <c r="G97" s="1"/>
      <c r="H97" s="2"/>
      <c r="I97" s="2"/>
    </row>
    <row r="98" spans="1:17" s="1" customFormat="1" x14ac:dyDescent="0.25">
      <c r="A98" s="161" t="s">
        <v>65</v>
      </c>
      <c r="B98" s="161"/>
      <c r="C98" s="161"/>
      <c r="D98" s="161"/>
      <c r="E98" s="161"/>
      <c r="F98" s="161"/>
      <c r="G98" s="161"/>
      <c r="H98" s="76"/>
      <c r="I98" s="76"/>
      <c r="J98" s="76"/>
      <c r="K98" s="76"/>
      <c r="Q98" s="3"/>
    </row>
    <row r="99" spans="1:17" ht="20.65" customHeight="1" x14ac:dyDescent="0.25">
      <c r="A99" s="36" t="s">
        <v>66</v>
      </c>
      <c r="B99" s="87"/>
      <c r="C99" s="87"/>
      <c r="D99" s="87"/>
      <c r="E99" s="87"/>
      <c r="F99" s="89"/>
      <c r="G99" s="13"/>
      <c r="H99" s="7"/>
      <c r="I99" s="7"/>
    </row>
    <row r="100" spans="1:17" ht="20.65" customHeight="1" x14ac:dyDescent="0.25">
      <c r="A100" s="36" t="s">
        <v>94</v>
      </c>
      <c r="B100" s="87"/>
      <c r="C100" s="87"/>
      <c r="D100" s="87"/>
      <c r="E100" s="87"/>
      <c r="F100" s="89"/>
      <c r="G100" s="13"/>
      <c r="H100" s="7"/>
      <c r="I100" s="7"/>
    </row>
    <row r="101" spans="1:17" ht="23.65" customHeight="1" x14ac:dyDescent="0.25">
      <c r="A101" s="36" t="s">
        <v>95</v>
      </c>
      <c r="B101" s="75"/>
      <c r="C101" s="75"/>
      <c r="D101" s="75"/>
      <c r="E101" s="95"/>
      <c r="F101" s="89"/>
      <c r="G101" s="1"/>
      <c r="H101" s="2"/>
      <c r="I101" s="2"/>
    </row>
    <row r="102" spans="1:17" ht="22.9" customHeight="1" x14ac:dyDescent="0.25">
      <c r="A102" s="36" t="s">
        <v>96</v>
      </c>
      <c r="B102" s="75"/>
      <c r="C102" s="75"/>
      <c r="D102" s="75"/>
      <c r="E102" s="95"/>
      <c r="F102" s="89"/>
      <c r="G102" s="1"/>
      <c r="H102" s="2"/>
      <c r="I102" s="2"/>
    </row>
    <row r="103" spans="1:17" s="38" customFormat="1" ht="33.75" customHeight="1" x14ac:dyDescent="0.25">
      <c r="A103" s="175" t="s">
        <v>97</v>
      </c>
      <c r="B103" s="175"/>
      <c r="C103" s="175"/>
      <c r="D103" s="175"/>
      <c r="E103" s="175"/>
      <c r="F103" s="175"/>
      <c r="G103" s="175"/>
      <c r="H103" s="175"/>
      <c r="I103" s="37"/>
      <c r="Q103" s="3"/>
    </row>
    <row r="104" spans="1:17" ht="19.5" customHeight="1" x14ac:dyDescent="0.25">
      <c r="A104" s="36" t="s">
        <v>98</v>
      </c>
      <c r="B104" s="75"/>
      <c r="C104" s="75"/>
      <c r="D104" s="75"/>
      <c r="E104" s="95"/>
      <c r="F104" s="89"/>
      <c r="G104" s="1"/>
      <c r="H104" s="2"/>
      <c r="I104" s="2"/>
    </row>
    <row r="105" spans="1:17" ht="21.4" customHeight="1" x14ac:dyDescent="0.25">
      <c r="A105" s="36" t="s">
        <v>99</v>
      </c>
      <c r="B105" s="75"/>
      <c r="C105" s="75"/>
      <c r="D105" s="75"/>
      <c r="E105" s="95"/>
      <c r="F105" s="11"/>
      <c r="G105" s="1"/>
      <c r="H105" s="2"/>
      <c r="I105" s="2"/>
    </row>
    <row r="106" spans="1:17" ht="16.899999999999999" customHeight="1" x14ac:dyDescent="0.25">
      <c r="A106" s="36" t="s">
        <v>105</v>
      </c>
      <c r="B106" s="75"/>
      <c r="C106" s="75"/>
      <c r="D106" s="75"/>
      <c r="E106" s="95"/>
      <c r="F106" s="89"/>
      <c r="G106" s="9"/>
      <c r="H106" s="2"/>
      <c r="I106" s="2"/>
    </row>
    <row r="107" spans="1:17" ht="28.5" customHeight="1" x14ac:dyDescent="0.25">
      <c r="A107" s="175" t="s">
        <v>100</v>
      </c>
      <c r="B107" s="175"/>
      <c r="C107" s="175"/>
      <c r="D107" s="175"/>
      <c r="E107" s="175"/>
      <c r="F107" s="175"/>
      <c r="G107" s="175"/>
      <c r="H107" s="175"/>
      <c r="I107" s="2"/>
    </row>
    <row r="108" spans="1:17" ht="15.4" customHeight="1" x14ac:dyDescent="0.25">
      <c r="A108" s="36" t="s">
        <v>101</v>
      </c>
      <c r="B108" s="75"/>
      <c r="C108" s="75"/>
      <c r="D108" s="75"/>
      <c r="E108" s="95"/>
      <c r="F108" s="89"/>
      <c r="G108" s="1"/>
      <c r="H108" s="2"/>
      <c r="I108" s="2"/>
    </row>
    <row r="109" spans="1:17" ht="15.4" customHeight="1" x14ac:dyDescent="0.25">
      <c r="A109" s="79" t="s">
        <v>102</v>
      </c>
      <c r="B109" s="75"/>
      <c r="C109" s="75"/>
      <c r="D109" s="75"/>
      <c r="E109" s="95"/>
      <c r="F109" s="89"/>
      <c r="G109" s="1"/>
      <c r="H109" s="2"/>
      <c r="I109" s="2"/>
    </row>
    <row r="110" spans="1:17" ht="15.4" customHeight="1" x14ac:dyDescent="0.25">
      <c r="A110" s="36" t="s">
        <v>103</v>
      </c>
      <c r="B110" s="75"/>
      <c r="C110" s="75"/>
      <c r="D110" s="75"/>
      <c r="E110" s="95"/>
      <c r="F110" s="89"/>
      <c r="G110" s="1"/>
      <c r="H110" s="2"/>
      <c r="I110" s="2"/>
    </row>
    <row r="111" spans="1:17" x14ac:dyDescent="0.25">
      <c r="A111" s="36" t="s">
        <v>104</v>
      </c>
      <c r="B111" s="75"/>
      <c r="C111" s="75"/>
      <c r="D111" s="75"/>
      <c r="E111" s="95"/>
      <c r="F111" s="89"/>
      <c r="G111" s="1"/>
      <c r="H111" s="2"/>
      <c r="I111" s="2"/>
    </row>
    <row r="112" spans="1:17" x14ac:dyDescent="0.25">
      <c r="A112" s="29" t="s">
        <v>68</v>
      </c>
      <c r="B112" s="88"/>
      <c r="C112" s="88"/>
      <c r="D112" s="88"/>
      <c r="E112" s="78"/>
      <c r="F112" s="89"/>
      <c r="G112" s="1"/>
    </row>
    <row r="113" spans="1:13" x14ac:dyDescent="0.25">
      <c r="A113" s="162" t="s">
        <v>109</v>
      </c>
      <c r="B113" s="162"/>
      <c r="C113" s="162"/>
      <c r="D113" s="162"/>
      <c r="E113" s="162"/>
      <c r="F113" s="162"/>
      <c r="G113" s="162"/>
      <c r="H113" s="162"/>
      <c r="I113" s="77"/>
      <c r="J113" s="77"/>
      <c r="K113" s="77"/>
      <c r="L113" s="77"/>
      <c r="M113" s="77"/>
    </row>
    <row r="114" spans="1:13" ht="17.25" customHeight="1" x14ac:dyDescent="0.25">
      <c r="A114" s="36" t="s">
        <v>106</v>
      </c>
      <c r="B114" s="75"/>
      <c r="C114" s="75"/>
      <c r="D114" s="75"/>
      <c r="E114" s="95"/>
      <c r="F114" s="89"/>
      <c r="G114" s="1"/>
      <c r="H114" s="8"/>
      <c r="I114" s="8"/>
    </row>
    <row r="115" spans="1:13" ht="15.4" customHeight="1" x14ac:dyDescent="0.25">
      <c r="G115" s="1"/>
    </row>
    <row r="116" spans="1:13" ht="44.25" customHeight="1" x14ac:dyDescent="0.25">
      <c r="A116" s="173" t="s">
        <v>67</v>
      </c>
      <c r="B116" s="173"/>
      <c r="C116" s="173"/>
      <c r="D116" s="173"/>
      <c r="E116" s="173"/>
      <c r="F116" s="173"/>
      <c r="G116" s="173"/>
      <c r="H116" s="173"/>
      <c r="I116" s="58"/>
      <c r="J116" s="58"/>
      <c r="K116" s="58"/>
    </row>
    <row r="117" spans="1:13" ht="91.5" customHeight="1" x14ac:dyDescent="0.25">
      <c r="A117" s="173" t="s">
        <v>72</v>
      </c>
      <c r="B117" s="173"/>
      <c r="C117" s="173"/>
      <c r="D117" s="173"/>
      <c r="E117" s="173"/>
      <c r="F117" s="173"/>
      <c r="G117" s="173"/>
      <c r="H117" s="173"/>
      <c r="I117" s="58"/>
      <c r="J117" s="58"/>
      <c r="K117" s="58"/>
    </row>
    <row r="118" spans="1:13" ht="110.25" customHeight="1" x14ac:dyDescent="0.25">
      <c r="A118" s="174" t="s">
        <v>73</v>
      </c>
      <c r="B118" s="174"/>
      <c r="C118" s="174"/>
      <c r="D118" s="174"/>
      <c r="E118" s="174"/>
      <c r="F118" s="174"/>
      <c r="G118" s="174"/>
      <c r="H118" s="174"/>
    </row>
    <row r="120" spans="1:13" x14ac:dyDescent="0.25">
      <c r="A120"/>
    </row>
    <row r="122" spans="1:13" x14ac:dyDescent="0.25">
      <c r="B122" s="102"/>
    </row>
    <row r="123" spans="1:13" x14ac:dyDescent="0.25">
      <c r="D123" s="102"/>
    </row>
  </sheetData>
  <sheetProtection formatCells="0" formatColumns="0" formatRows="0" insertColumns="0" insertRows="0" insertHyperlinks="0" deleteColumns="0" deleteRows="0" sort="0" autoFilter="0" pivotTables="0"/>
  <mergeCells count="16">
    <mergeCell ref="A117:H117"/>
    <mergeCell ref="A116:H116"/>
    <mergeCell ref="A118:H118"/>
    <mergeCell ref="A103:H103"/>
    <mergeCell ref="A107:H107"/>
    <mergeCell ref="A98:G98"/>
    <mergeCell ref="A113:H113"/>
    <mergeCell ref="A61:D61"/>
    <mergeCell ref="A49:D49"/>
    <mergeCell ref="A25:D25"/>
    <mergeCell ref="A40:D40"/>
    <mergeCell ref="A1:E1"/>
    <mergeCell ref="A2:E2"/>
    <mergeCell ref="A3:E3"/>
    <mergeCell ref="A5:E5"/>
    <mergeCell ref="A11:F11"/>
  </mergeCells>
  <phoneticPr fontId="17" type="noConversion"/>
  <hyperlinks>
    <hyperlink ref="A99" location="'Presupuesto Modelo'!A13" display="[2] El costo de las plántulas semilla varía de acuerdo a la variedad sembrada." xr:uid="{5A74E56B-DD0A-409C-A659-67068961A0C4}"/>
    <hyperlink ref="A101" location="'Presupuesto Modelo'!A15" display="[3] El abono líquido se aplica previo a la siembra y tiene un alto contenido de fósforo." xr:uid="{CFC790B9-0DD2-4BDE-9C33-140E3CBBBD31}"/>
    <hyperlink ref="A102" location="'Presupuesto Modelo'!A16" display="4] El abono se aplica cada 2 semanas por 6 meses y luego se realiza 1 aplicación mensual." xr:uid="{AC3BB57E-49FB-41B1-AF1E-270659EF52F8}"/>
    <hyperlink ref="A103" location="'Presupuesto Modelo'!A18" display="[5] El valor de los plaguicidas varía de acuerdo a la incidencia de plagas y enfermedades en el área. Los plaguicidas que utilice el agricultor deben tener registro de uso para este cultivo. El agricultor debe leer la etiqueta de los mismos para utilizarlos adecuadamente." xr:uid="{31B448B9-14CD-42A9-98FD-6EAACED9F961}"/>
    <hyperlink ref="A104" location="'Presupuesto Modelo'!A20" display="[6] Se asume que la finca posee la infraestructura de riego." xr:uid="{4B1EC30E-5B92-46F0-A972-1F19CFD0B54A}"/>
    <hyperlink ref="A105" location="'Presupuesto Modelo'!A23" display="[7] Se paga basándose en costo de energía." xr:uid="{EAD39F8E-EFC6-476D-B071-8747D9B4E031}"/>
    <hyperlink ref="A106" location="'Presupuesto Modelo'!A27" display="[8] En este caso se aplicó el salario mínimo agrícola de Puerto Rico." xr:uid="{B7D2449F-BA65-412E-AB43-9DDFC6320E1E}"/>
    <hyperlink ref="A107" location="'Presupuesto Modelo'!A39" display="[9] Las obligaciones patronales incluyen pagos al &quot;Internal Revenue Service&quot; (Seguro Social), Corporación del Fondo del Seguro del Estado (Seguro Obreros), Departamento del Trabajo (Seguro por Desempleo) y Negociado del Seguro Social Choferil (Seguro Choferil)." xr:uid="{F3F7FBD7-070A-45E4-8AFC-92E51BB01092}"/>
    <hyperlink ref="A108" location="'Presupuesto Modelo'!A41" display="[10] Los gastos de maquinaria incluyen costo de combustible, lubricantes, mantenimiento y reparaciones. También incluye el costo de operador." xr:uid="{A567CC23-42CA-4AF6-9937-759436F76EE9}"/>
    <hyperlink ref="A109" location="'Presupuesto Modelo'!A43" display="[11] La preparación del terreno incluye arado, rastrillado, banqueo, aplicación de abono base e instalación de mangas de riego." xr:uid="{5C9537BB-4597-4863-B48F-A18AEBFF46E4}"/>
    <hyperlink ref="A110" location="'Presupuesto Modelo'!A52" display="[12] Esto representa un costo de arrendamiento incluyendo las contribuciones." xr:uid="{7143FE39-33CF-41ED-A462-41FF2B0E920F}"/>
    <hyperlink ref="A111" location="'Presupuesto Modelo'!A53" display="[13] Incluye el costo del alquiler de recipiente para la disposición de los plásticos, las mangas y los recipientes de plaguicidas." xr:uid="{0FEB2EBF-B05D-47F0-931E-1A7E06C6F49A}"/>
    <hyperlink ref="A114" location="'Presupuesto Modelo'!F12" display="[14]Diferencia" xr:uid="{731C554F-2C9A-4D44-B983-DF46A01BE68A}"/>
    <hyperlink ref="A5:E5" location="'Presupuesto Modelo'!A89" display="PRESUPUESTO MODELO: Papaya (1 cuerda )[1]" xr:uid="{3F666272-B2D2-49A0-8960-7637F11EB2C9}"/>
    <hyperlink ref="A13" location="'Presupuesto Modelo'!A90" display="Plantulas[2]" xr:uid="{341DC948-3B76-4C5E-894E-31F2F7107F15}"/>
    <hyperlink ref="A15" location="'Presupuesto Modelo'!A91" display="Abono liquido[3] " xr:uid="{0EAD65B8-1F9C-4246-A8E3-8080EB73D7BC}"/>
    <hyperlink ref="A16" location="'Presupuesto Modelo'!A92" display="Abono 15-15-15 [4]" xr:uid="{B6371658-CB00-4C1A-A002-8A577CF940E6}"/>
    <hyperlink ref="A18" location="'Presupuesto Modelo'!A93" display="Plaguicidas[5]" xr:uid="{306755F7-E47E-41AE-AF83-972AA15AB50E}"/>
    <hyperlink ref="A20" location="'Presupuesto Modelo'!A94" display="Manga de riego[6]" xr:uid="{28B22DFB-C422-48D3-A63C-A993E1CAC3B6}"/>
    <hyperlink ref="A23" location="'Presupuesto Modelo'!A95" display="Agua de riego[7]" xr:uid="{D1BC4764-A630-44A5-865F-B622C0CACBDE}"/>
    <hyperlink ref="A27" location="'Presupuesto Modelo'!A96" display="Gastos de Mano de Obra:[8]" xr:uid="{9F6F36F3-D015-4963-A6C5-77EABCA02353}"/>
    <hyperlink ref="A39" location="'Presupuesto Modelo'!A97" display="Obligaciones patronales [9]" xr:uid="{8DC29025-85C6-4703-A677-4767ACE0F00F}"/>
    <hyperlink ref="A42" location="'Presupuesto Modelo'!A98" display="Gastos de alquiler de maquinaria:[10]" xr:uid="{ABD0304D-04C8-40B3-8C8E-36752A1D6F9F}"/>
    <hyperlink ref="A44" location="'Presupuesto Modelo'!A99" display="Preparacion del terreno  [11]" xr:uid="{3AA0A004-3E14-4D6C-BEE4-2F31A2720A07}"/>
    <hyperlink ref="A54" location="'Presupuesto Modelo'!A100" display="Uso del terreno [12]" xr:uid="{4C6E185D-FAE4-49D9-870B-45B96F121CDB}"/>
    <hyperlink ref="A55" location="'Presupuesto Modelo'!A101" display="Dispocision de mangas de riego y recipientes de plaguicidas [13]" xr:uid="{01092FCD-6F0D-4C6F-B873-AD2F9F6D7363}"/>
    <hyperlink ref="F12" location="'Presupuesto Modelo'!A102" display="Mi Finca [14]" xr:uid="{1A682943-5847-4BFD-A1D5-82697587F0CD}"/>
    <hyperlink ref="F27" location="'Presupuesto Modelo'!A102" display="Mi Finca [14]" xr:uid="{1ACCF0BA-1F3D-4F55-9A8E-B09791C577D3}"/>
    <hyperlink ref="F43" location="'Presupuesto Modelo'!A102" display="Mi Finca [14]" xr:uid="{A5C24DEC-5640-41EE-B377-2D8FF0CAA8F4}"/>
    <hyperlink ref="F53" location="'Presupuesto Modelo'!A102" display="Mi Finca [14]" xr:uid="{237A47DD-4062-4236-9B8C-F8284E7191E7}"/>
    <hyperlink ref="F66" location="'Presupuesto Modelo'!A102" display="Mi Finca [14]" xr:uid="{12800A37-B2DB-4983-834D-483A21EFD5C5}"/>
    <hyperlink ref="E74" location="'Presupuesto Modelo'!A102" display="Mi Finca [14]" xr:uid="{41427210-B854-4105-9278-B36C6F38C93D}"/>
    <hyperlink ref="A79" location="'Presupuesto Modelo'!A103" display="Precio Mínimo (Quintal)[15]" xr:uid="{112308A7-9325-40B7-B0E1-81401A819B01}"/>
    <hyperlink ref="A80" location="'Presupuesto Modelo'!A104" display="Producción Mínima (Quintal)[16]" xr:uid="{EB413107-6039-43F7-B6F7-AFE9AFF708AB}"/>
    <hyperlink ref="A112" location="'Presupuesto Modelo'!A76" display="[15] El precio mínimo es el precio para recobrar todos los costos." xr:uid="{A06512C9-9228-42AE-8A38-FD4535CAD5AE}"/>
    <hyperlink ref="A14" location="'Presupuesto Modelo'!A90" display="Plantulas[2]" xr:uid="{50897301-897B-4DDA-8FF6-B856A3B48D9D}"/>
    <hyperlink ref="A100" location="'Presupuesto Modelo'!A15" display="[3] El abono líquido se aplica previo a la siembra y tiene un alto contenido de fósforo." xr:uid="{9B40BEA5-D34E-4598-9D9D-6825BC475A4D}"/>
  </hyperlinks>
  <pageMargins left="0.7" right="0.7" top="0.75" bottom="0.75" header="0.3" footer="0.3"/>
  <pageSetup scale="54" orientation="portrait" r:id="rId1"/>
  <rowBreaks count="2" manualBreakCount="2">
    <brk id="51" max="7" man="1"/>
    <brk id="114" max="7" man="1"/>
  </rowBreaks>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Presupuesto Modelo</vt:lpstr>
      <vt:lpstr>'Presupuesto Modelo'!Print_Area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Bart McAllister</cp:lastModifiedBy>
  <cp:revision/>
  <dcterms:created xsi:type="dcterms:W3CDTF">2016-05-02T14:47:02Z</dcterms:created>
  <dcterms:modified xsi:type="dcterms:W3CDTF">2026-10-23T14:25:54Z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120 120 1920 1080</vt:lpwstr>
  </property>
</Properties>
</file>