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PPIUM SPRING 2025\DOCUMENTOS EN EL WEB PARA EDITARSE\"/>
    </mc:Choice>
  </mc:AlternateContent>
  <xr:revisionPtr revIDLastSave="0" documentId="8_{CB6975CC-D934-4291-96D5-18B350A68F1F}" xr6:coauthVersionLast="36" xr6:coauthVersionMax="36" xr10:uidLastSave="{00000000-0000-0000-0000-000000000000}"/>
  <bookViews>
    <workbookView showHorizontalScroll="0" showVerticalScroll="0" showSheetTabs="0" xWindow="0" yWindow="0" windowWidth="7944" windowHeight="4704" xr2:uid="{00000000-000D-0000-FFFF-FFFF00000000}"/>
  </bookViews>
  <sheets>
    <sheet name="Escenario Año 1" sheetId="1" r:id="rId1"/>
  </sheets>
  <definedNames>
    <definedName name="_xlnm.Print_Area" localSheetId="0">'Escenario Año 1'!$A$1:$D$77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C62" i="1" l="1"/>
  <c r="C16" i="1" l="1"/>
  <c r="C15" i="1"/>
  <c r="C14" i="1"/>
  <c r="C13" i="1"/>
  <c r="D18" i="1" l="1"/>
  <c r="E18" i="1" s="1"/>
  <c r="D50" i="1"/>
  <c r="E50" i="1" s="1"/>
  <c r="C25" i="1"/>
  <c r="D27" i="1" s="1"/>
  <c r="E27" i="1" s="1"/>
  <c r="D23" i="1"/>
  <c r="E23" i="1" s="1"/>
  <c r="D60" i="1" l="1"/>
  <c r="E60" i="1" s="1"/>
  <c r="D55" i="1"/>
  <c r="E55" i="1" s="1"/>
  <c r="D46" i="1"/>
  <c r="E46" i="1" s="1"/>
  <c r="D41" i="1"/>
  <c r="E41" i="1" s="1"/>
  <c r="D11" i="1"/>
  <c r="E11" i="1" s="1"/>
  <c r="D35" i="1"/>
  <c r="E35" i="1" s="1"/>
  <c r="C71" i="1" l="1"/>
  <c r="C64" i="1" l="1"/>
  <c r="C63" i="1"/>
  <c r="D66" i="1"/>
  <c r="E66" i="1" s="1"/>
  <c r="F66" i="1" s="1"/>
  <c r="D68" i="1"/>
  <c r="E68" i="1" s="1"/>
  <c r="D72" i="1" l="1"/>
  <c r="E72" i="1" s="1"/>
  <c r="D74" i="1" l="1"/>
  <c r="E74" i="1" s="1"/>
  <c r="D76" i="1" l="1"/>
  <c r="E76" i="1" s="1"/>
  <c r="E88" i="1" s="1"/>
  <c r="D81" i="1" l="1"/>
  <c r="D82" i="1"/>
  <c r="D80" i="1"/>
  <c r="D79" i="1"/>
  <c r="D87" i="1" l="1"/>
  <c r="D86" i="1"/>
  <c r="D85" i="1"/>
  <c r="D78" i="1"/>
  <c r="D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Reviewer 1</author>
  </authors>
  <commentList>
    <comment ref="B71" authorId="0" shapeId="0" xr:uid="{DF3F1D52-89C1-4F53-BD20-11D3E3F396A2}">
      <text>
        <r>
          <rPr>
            <b/>
            <sz val="9"/>
            <color indexed="81"/>
            <rFont val="Tahoma"/>
            <family val="2"/>
          </rPr>
          <t>Reviewer 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<sst xmlns="http://schemas.openxmlformats.org/spreadsheetml/2006/main" count="97" uniqueCount="65">
  <si>
    <t>TOTAL</t>
  </si>
  <si>
    <t xml:space="preserve">          Administrador</t>
  </si>
  <si>
    <t xml:space="preserve">Equipo de Oficinas </t>
  </si>
  <si>
    <t>Facilidades Fisicas y Oficinas</t>
  </si>
  <si>
    <t>PAGO DE UTILIDADES</t>
  </si>
  <si>
    <t>Agua</t>
  </si>
  <si>
    <t>Energía Eléctrica</t>
  </si>
  <si>
    <t>Material de oficina</t>
  </si>
  <si>
    <t>VIAJES</t>
  </si>
  <si>
    <t>GASTOS</t>
  </si>
  <si>
    <t>SALARIOS DE PERSONAL PARTICIPANTE (NO DOCENTE)</t>
  </si>
  <si>
    <t xml:space="preserve">ESTUDIANTES </t>
  </si>
  <si>
    <t>MATERIALES</t>
  </si>
  <si>
    <t>Secretaria</t>
  </si>
  <si>
    <t xml:space="preserve"> </t>
  </si>
  <si>
    <t>Materiales de Laboratorio</t>
  </si>
  <si>
    <t>Equipo de Labporatorios</t>
  </si>
  <si>
    <t>CONSTRUCCIÓN Y REMODELACIÓN DE ESPACIOS</t>
  </si>
  <si>
    <t>Espacios Verdes</t>
  </si>
  <si>
    <t>RENTAS DE ESPACIOS</t>
  </si>
  <si>
    <t xml:space="preserve">5% Departamento  </t>
  </si>
  <si>
    <t xml:space="preserve">80%  Proponentes </t>
  </si>
  <si>
    <t>10% Administración Central</t>
  </si>
  <si>
    <t xml:space="preserve">5% Rectoría </t>
  </si>
  <si>
    <t>GASTOS DIRECTOS TOTALES</t>
  </si>
  <si>
    <t>Distribución de 80% del Remanente a Proponentes</t>
  </si>
  <si>
    <t>Proponente 1 - (Profesor 1)</t>
  </si>
  <si>
    <t>Proponente 2 - (Profesor 2)</t>
  </si>
  <si>
    <t>Correspondencia</t>
  </si>
  <si>
    <t>Técnico de Laboratorio</t>
  </si>
  <si>
    <t xml:space="preserve">Subcontrato 1-Externo </t>
  </si>
  <si>
    <t xml:space="preserve">Subcontato 2-Externo </t>
  </si>
  <si>
    <t xml:space="preserve">Coordinador de Actividades </t>
  </si>
  <si>
    <t xml:space="preserve">Instructor invitado  </t>
  </si>
  <si>
    <t>xxxxxxx</t>
  </si>
  <si>
    <r>
      <t xml:space="preserve">CONSULTORES EXTERNOS </t>
    </r>
    <r>
      <rPr>
        <b/>
        <sz val="10"/>
        <color rgb="FFFF0000"/>
        <rFont val="Arial"/>
        <family val="2"/>
      </rPr>
      <t>(si aplica</t>
    </r>
    <r>
      <rPr>
        <b/>
        <sz val="10"/>
        <color rgb="FF231F20"/>
        <rFont val="Arial"/>
        <family val="2"/>
      </rPr>
      <t>)</t>
    </r>
  </si>
  <si>
    <r>
      <t>Ayudantías de estudiantes (</t>
    </r>
    <r>
      <rPr>
        <b/>
        <sz val="10"/>
        <color rgb="FFFF0000"/>
        <rFont val="Arial"/>
        <family val="2"/>
      </rPr>
      <t>incluir graduadas y subgraduadas</t>
    </r>
    <r>
      <rPr>
        <b/>
        <sz val="10"/>
        <color rgb="FF231F20"/>
        <rFont val="Arial"/>
        <family val="2"/>
      </rPr>
      <t>)</t>
    </r>
  </si>
  <si>
    <r>
      <t>Otros (</t>
    </r>
    <r>
      <rPr>
        <b/>
        <sz val="10"/>
        <color rgb="FFFF0000"/>
        <rFont val="Arial"/>
        <family val="2"/>
      </rPr>
      <t>expandir según sea necesario</t>
    </r>
    <r>
      <rPr>
        <b/>
        <sz val="10"/>
        <color rgb="FF231F20"/>
        <rFont val="Arial"/>
        <family val="2"/>
      </rPr>
      <t>)</t>
    </r>
  </si>
  <si>
    <r>
      <rPr>
        <b/>
        <sz val="10"/>
        <color theme="1"/>
        <rFont val="Arial"/>
        <family val="2"/>
      </rPr>
      <t>Otros</t>
    </r>
    <r>
      <rPr>
        <b/>
        <sz val="10"/>
        <color rgb="FFFF0000"/>
        <rFont val="Arial"/>
        <family val="2"/>
      </rPr>
      <t xml:space="preserve"> (expandir la lista según aplique)</t>
    </r>
  </si>
  <si>
    <r>
      <t xml:space="preserve">Otros </t>
    </r>
    <r>
      <rPr>
        <b/>
        <sz val="10"/>
        <color rgb="FFFF0000"/>
        <rFont val="Arial"/>
        <family val="2"/>
      </rPr>
      <t>(expandir según sea necesario)</t>
    </r>
  </si>
  <si>
    <r>
      <t>Otros (</t>
    </r>
    <r>
      <rPr>
        <b/>
        <sz val="10"/>
        <color rgb="FFFF0000"/>
        <rFont val="Arial"/>
        <family val="2"/>
      </rPr>
      <t>expandir según sea necesario</t>
    </r>
    <r>
      <rPr>
        <b/>
        <sz val="10"/>
        <color theme="1"/>
        <rFont val="Arial"/>
        <family val="2"/>
      </rPr>
      <t>)</t>
    </r>
  </si>
  <si>
    <t xml:space="preserve">COSTOS ADMINISTRATIVOS @ (2-5)% x PP </t>
  </si>
  <si>
    <t xml:space="preserve">Use 5%- a menos que haya una justificación significativa para  usar otro.  </t>
  </si>
  <si>
    <t>Asistentes Administrativos</t>
  </si>
  <si>
    <t>EQUIPOS (mayor de $5000)</t>
  </si>
  <si>
    <t xml:space="preserve">Equipos y facilidades de Laboratorio ($500/mes*12 meses) </t>
  </si>
  <si>
    <r>
      <t>Viajes y Transportación (</t>
    </r>
    <r>
      <rPr>
        <b/>
        <sz val="10"/>
        <color rgb="FFFF0000"/>
        <rFont val="Arial"/>
        <family val="2"/>
      </rPr>
      <t>30 viajes @$100</t>
    </r>
    <r>
      <rPr>
        <b/>
        <sz val="10"/>
        <color rgb="FF231F20"/>
        <rFont val="Arial"/>
        <family val="2"/>
      </rPr>
      <t xml:space="preserve">) </t>
    </r>
  </si>
  <si>
    <r>
      <t xml:space="preserve">Proponente 3 - </t>
    </r>
    <r>
      <rPr>
        <b/>
        <sz val="11"/>
        <color rgb="FFFF0000"/>
        <rFont val="Calibri"/>
        <family val="2"/>
        <scheme val="minor"/>
      </rPr>
      <t xml:space="preserve">Centro/Lab/ Unidad Proponente </t>
    </r>
  </si>
  <si>
    <r>
      <t>BENEFICIOS MARGINALES @1.40% (</t>
    </r>
    <r>
      <rPr>
        <b/>
        <sz val="10"/>
        <color rgb="FFFF0000"/>
        <rFont val="Arial"/>
        <family val="2"/>
      </rPr>
      <t>o el % que aplique al momento)</t>
    </r>
    <r>
      <rPr>
        <b/>
        <sz val="10"/>
        <color rgb="FF231F20"/>
        <rFont val="Arial"/>
        <family val="2"/>
      </rPr>
      <t xml:space="preserve">=                         </t>
    </r>
  </si>
  <si>
    <t>$5000*.014</t>
  </si>
  <si>
    <r>
      <t>Estu</t>
    </r>
    <r>
      <rPr>
        <sz val="10"/>
        <color rgb="FF231F20"/>
        <rFont val="Arial"/>
        <family val="2"/>
      </rPr>
      <t>dian</t>
    </r>
    <r>
      <rPr>
        <b/>
        <sz val="10"/>
        <color rgb="FF231F20"/>
        <rFont val="Arial"/>
        <family val="2"/>
      </rPr>
      <t>te Jornales(</t>
    </r>
    <r>
      <rPr>
        <b/>
        <sz val="10"/>
        <color rgb="FFFF0000"/>
        <rFont val="Arial"/>
        <family val="2"/>
      </rPr>
      <t>draduados o subgraduados</t>
    </r>
    <r>
      <rPr>
        <b/>
        <sz val="10"/>
        <color rgb="FF231F20"/>
        <rFont val="Arial"/>
        <family val="2"/>
      </rPr>
      <t xml:space="preserve">)  </t>
    </r>
  </si>
  <si>
    <t xml:space="preserve">Recursos computacionales@$300/mes x12 semanas </t>
  </si>
  <si>
    <r>
      <t>BENEFICIOS MARGINALES  (</t>
    </r>
    <r>
      <rPr>
        <b/>
        <sz val="10"/>
        <color rgb="FFFF0000"/>
        <rFont val="Arial"/>
        <family val="2"/>
      </rPr>
      <t xml:space="preserve">el % que aplique al momento).  Se recomienda seguir la Plantilla de Estimado de Costos del CID para estimar los salarios y sus beneficios marginales del personal.  </t>
    </r>
    <r>
      <rPr>
        <b/>
        <sz val="10"/>
        <color rgb="FF231F20"/>
        <rFont val="Arial"/>
        <family val="2"/>
      </rPr>
      <t xml:space="preserve">                        </t>
    </r>
  </si>
  <si>
    <t xml:space="preserve">          Administrador ($6000*0.3905)</t>
  </si>
  <si>
    <t>Secretaria ($3000*0.0905)</t>
  </si>
  <si>
    <t>Técnico de Laboratorio (4000*0.0905</t>
  </si>
  <si>
    <t>Profesor 1 (1/9 del tiempo) = +$90000*(1/9)*0.3905</t>
  </si>
  <si>
    <t xml:space="preserve">Oficina (Seguir las Guías para el arrendamiento de facilidades de la UPRM)=(Ejemplo: $2.74/pie2/mes*6 meses)*5000 pies2  </t>
  </si>
  <si>
    <t>Profesor 1 (1/9 del tiempo) - +$90000*(2/9)*0.0905</t>
  </si>
  <si>
    <t>CARGOS POR SERVICIOS INSTITUCIONALES (FONDOS SORANTES A SER DISTRIBUIDOS)-Reglamentado</t>
  </si>
  <si>
    <t xml:space="preserve">CARGOS POR SERVICIOS INSTITUCIONALES (DISTRIBUCIÓN DEL REMANENTE) -Reglamentado </t>
  </si>
  <si>
    <t>GASTOS DIRECTOS TOTALES PRESUPUESTADOS</t>
  </si>
  <si>
    <t>EJEMPLO DE PRESUPUESTO PROYECTADO (PP)- MODELO</t>
  </si>
  <si>
    <t>Ejemplo Plantilla de Presupuesto Proyectado- Modificar como sea pertinente y aplicable (Feb 2025)</t>
  </si>
  <si>
    <t xml:space="preserve">Nota:  Se incluirán todas las partidas necesarias para la consecusión de los trabajos propuestas.  El proponente debe revisar y ajustar la tabla de EXCEL según sea necesario.  También puede usar la Plantilla provista por el CID para referencia y corroboración de los cómputos aplicables.  Recuerden que no se incluye una partida de costos indirectos los cuales deben ser desglozados lo mejor posible en este presupuesto.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</si>
</sst>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31F20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231F2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/>
    <xf numFmtId="0" fontId="0" fillId="4" borderId="0" xfId="0" applyFill="1" applyAlignment="1"/>
    <xf numFmtId="0" fontId="5" fillId="0" borderId="0" xfId="0" applyFont="1" applyAlignment="1"/>
    <xf numFmtId="44" fontId="5" fillId="0" borderId="0" xfId="1" applyFont="1" applyAlignment="1"/>
    <xf numFmtId="44" fontId="2" fillId="5" borderId="1" xfId="1" applyFont="1" applyFill="1" applyBorder="1" applyAlignment="1">
      <alignment horizontal="right" vertical="center"/>
    </xf>
    <xf numFmtId="44" fontId="2" fillId="0" borderId="1" xfId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5" fillId="0" borderId="1" xfId="0" applyFont="1" applyBorder="1" applyAlignment="1"/>
    <xf numFmtId="9" fontId="5" fillId="0" borderId="1" xfId="1" applyNumberFormat="1" applyFont="1" applyBorder="1" applyAlignment="1"/>
    <xf numFmtId="9" fontId="5" fillId="3" borderId="1" xfId="1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6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8" fillId="3" borderId="1" xfId="0" applyFont="1" applyFill="1" applyBorder="1" applyAlignment="1"/>
    <xf numFmtId="0" fontId="1" fillId="6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44" fontId="9" fillId="5" borderId="1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44" fontId="2" fillId="5" borderId="1" xfId="1" applyFont="1" applyFill="1" applyBorder="1" applyAlignment="1">
      <alignment vertical="center"/>
    </xf>
    <xf numFmtId="44" fontId="1" fillId="4" borderId="1" xfId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 wrapText="1"/>
    </xf>
    <xf numFmtId="44" fontId="5" fillId="0" borderId="2" xfId="1" applyFont="1" applyBorder="1" applyAlignment="1"/>
    <xf numFmtId="44" fontId="2" fillId="4" borderId="2" xfId="1" applyFont="1" applyFill="1" applyBorder="1" applyAlignment="1">
      <alignment horizontal="right" vertical="center"/>
    </xf>
    <xf numFmtId="44" fontId="1" fillId="3" borderId="2" xfId="1" applyFont="1" applyFill="1" applyBorder="1" applyAlignment="1">
      <alignment horizontal="left" vertical="center"/>
    </xf>
    <xf numFmtId="44" fontId="1" fillId="6" borderId="2" xfId="1" applyFont="1" applyFill="1" applyBorder="1" applyAlignment="1">
      <alignment horizontal="left" vertical="center"/>
    </xf>
    <xf numFmtId="44" fontId="5" fillId="3" borderId="2" xfId="1" applyFont="1" applyFill="1" applyBorder="1" applyAlignment="1"/>
    <xf numFmtId="44" fontId="5" fillId="4" borderId="2" xfId="1" applyFont="1" applyFill="1" applyBorder="1" applyAlignment="1"/>
    <xf numFmtId="44" fontId="5" fillId="6" borderId="2" xfId="1" applyFont="1" applyFill="1" applyBorder="1" applyAlignment="1"/>
    <xf numFmtId="44" fontId="5" fillId="7" borderId="2" xfId="1" applyFont="1" applyFill="1" applyBorder="1" applyAlignment="1"/>
    <xf numFmtId="44" fontId="2" fillId="3" borderId="2" xfId="1" applyFont="1" applyFill="1" applyBorder="1" applyAlignment="1">
      <alignment horizontal="right" vertical="center"/>
    </xf>
    <xf numFmtId="44" fontId="5" fillId="7" borderId="2" xfId="1" applyFont="1" applyFill="1" applyBorder="1" applyAlignment="1">
      <alignment horizontal="right"/>
    </xf>
    <xf numFmtId="10" fontId="5" fillId="3" borderId="1" xfId="2" applyNumberFormat="1" applyFont="1" applyFill="1" applyBorder="1" applyAlignment="1"/>
    <xf numFmtId="10" fontId="5" fillId="0" borderId="0" xfId="2" applyNumberFormat="1" applyFont="1" applyAlignment="1"/>
    <xf numFmtId="10" fontId="5" fillId="0" borderId="1" xfId="2" applyNumberFormat="1" applyFont="1" applyBorder="1" applyAlignment="1"/>
    <xf numFmtId="10" fontId="5" fillId="4" borderId="1" xfId="2" applyNumberFormat="1" applyFont="1" applyFill="1" applyBorder="1" applyAlignment="1"/>
    <xf numFmtId="164" fontId="0" fillId="0" borderId="0" xfId="0" applyNumberFormat="1" applyAlignment="1"/>
    <xf numFmtId="0" fontId="1" fillId="6" borderId="2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0" fontId="5" fillId="8" borderId="2" xfId="0" applyFont="1" applyFill="1" applyBorder="1" applyAlignment="1"/>
    <xf numFmtId="0" fontId="5" fillId="8" borderId="4" xfId="0" applyFont="1" applyFill="1" applyBorder="1" applyAlignment="1"/>
    <xf numFmtId="0" fontId="5" fillId="8" borderId="5" xfId="0" applyFont="1" applyFill="1" applyBorder="1" applyAlignment="1"/>
    <xf numFmtId="0" fontId="8" fillId="3" borderId="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3" borderId="3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44" fontId="9" fillId="2" borderId="1" xfId="1" applyFont="1" applyFill="1" applyBorder="1" applyAlignment="1">
      <alignment horizontal="right" vertical="center"/>
    </xf>
    <xf numFmtId="44" fontId="9" fillId="2" borderId="2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9"/>
  <sheetViews>
    <sheetView tabSelected="1" topLeftCell="A67" zoomScale="98" zoomScaleNormal="98" workbookViewId="0">
      <selection activeCell="B89" sqref="B89:E89"/>
    </sheetView>
  </sheetViews>
  <sheetFormatPr defaultColWidth="9.109375" defaultRowHeight="14.4" x14ac:dyDescent="0.3"/>
  <cols>
    <col min="1" max="1" width="9.109375" style="1"/>
    <col min="2" max="2" width="69.88671875" style="3" bestFit="1" customWidth="1"/>
    <col min="3" max="3" width="11.33203125" style="4" bestFit="1" customWidth="1"/>
    <col min="4" max="4" width="15.33203125" style="4" customWidth="1"/>
    <col min="5" max="5" width="8.109375" style="41" bestFit="1" customWidth="1"/>
    <col min="6" max="16384" width="9.109375" style="1"/>
  </cols>
  <sheetData>
    <row r="1" spans="2:9" x14ac:dyDescent="0.3">
      <c r="B1" s="63" t="s">
        <v>63</v>
      </c>
      <c r="C1" s="63"/>
      <c r="D1" s="63"/>
      <c r="E1" s="63"/>
    </row>
    <row r="2" spans="2:9" x14ac:dyDescent="0.3">
      <c r="B2" s="64"/>
      <c r="C2" s="64"/>
      <c r="D2" s="64"/>
      <c r="E2" s="64"/>
    </row>
    <row r="3" spans="2:9" ht="15.6" x14ac:dyDescent="0.3">
      <c r="B3" s="13" t="s">
        <v>62</v>
      </c>
      <c r="C3" s="81">
        <v>200000</v>
      </c>
      <c r="D3" s="82"/>
      <c r="E3" s="40">
        <f>+C3/$C$3</f>
        <v>1</v>
      </c>
    </row>
    <row r="4" spans="2:9" ht="15.6" x14ac:dyDescent="0.3">
      <c r="B4" s="83" t="s">
        <v>9</v>
      </c>
      <c r="C4" s="83"/>
      <c r="D4" s="84"/>
      <c r="E4" s="42"/>
    </row>
    <row r="5" spans="2:9" x14ac:dyDescent="0.3">
      <c r="B5" s="79" t="s">
        <v>10</v>
      </c>
      <c r="C5" s="79"/>
      <c r="D5" s="80"/>
      <c r="E5" s="42"/>
    </row>
    <row r="6" spans="2:9" x14ac:dyDescent="0.3">
      <c r="B6" s="14" t="s">
        <v>1</v>
      </c>
      <c r="C6" s="5">
        <v>6000</v>
      </c>
      <c r="D6" s="30"/>
      <c r="E6" s="42"/>
    </row>
    <row r="7" spans="2:9" x14ac:dyDescent="0.3">
      <c r="B7" s="14" t="s">
        <v>13</v>
      </c>
      <c r="C7" s="5">
        <v>3000</v>
      </c>
      <c r="D7" s="31" t="s">
        <v>14</v>
      </c>
      <c r="E7" s="42"/>
      <c r="I7" s="7"/>
    </row>
    <row r="8" spans="2:9" x14ac:dyDescent="0.3">
      <c r="B8" s="14" t="s">
        <v>29</v>
      </c>
      <c r="C8" s="5">
        <v>4000</v>
      </c>
      <c r="D8" s="30"/>
      <c r="E8" s="42"/>
    </row>
    <row r="9" spans="2:9" x14ac:dyDescent="0.3">
      <c r="B9" s="14" t="s">
        <v>58</v>
      </c>
      <c r="C9" s="5">
        <v>20000</v>
      </c>
      <c r="D9" s="30"/>
      <c r="E9" s="42"/>
    </row>
    <row r="10" spans="2:9" x14ac:dyDescent="0.3">
      <c r="B10" s="22" t="s">
        <v>38</v>
      </c>
      <c r="C10" s="23" t="s">
        <v>34</v>
      </c>
      <c r="D10" s="30"/>
      <c r="E10" s="42"/>
    </row>
    <row r="11" spans="2:9" x14ac:dyDescent="0.3">
      <c r="B11" s="69" t="s">
        <v>0</v>
      </c>
      <c r="C11" s="69"/>
      <c r="D11" s="32">
        <f>+SUM(C6:C10)</f>
        <v>33000</v>
      </c>
      <c r="E11" s="40">
        <f>+D11/$C$3</f>
        <v>0.16500000000000001</v>
      </c>
    </row>
    <row r="12" spans="2:9" ht="39.6" x14ac:dyDescent="0.3">
      <c r="B12" s="26" t="s">
        <v>52</v>
      </c>
      <c r="C12" s="15"/>
      <c r="D12" s="31" t="s">
        <v>14</v>
      </c>
      <c r="E12" s="42"/>
    </row>
    <row r="13" spans="2:9" x14ac:dyDescent="0.3">
      <c r="B13" s="14" t="s">
        <v>53</v>
      </c>
      <c r="C13" s="28">
        <f>+C6*0.3905</f>
        <v>2343</v>
      </c>
      <c r="D13" s="31"/>
      <c r="E13" s="42"/>
    </row>
    <row r="14" spans="2:9" x14ac:dyDescent="0.3">
      <c r="B14" s="14" t="s">
        <v>54</v>
      </c>
      <c r="C14" s="28">
        <f>+C7*0.0905</f>
        <v>271.5</v>
      </c>
      <c r="D14" s="31"/>
      <c r="E14" s="42"/>
    </row>
    <row r="15" spans="2:9" x14ac:dyDescent="0.3">
      <c r="B15" s="14" t="s">
        <v>55</v>
      </c>
      <c r="C15" s="28">
        <f>+C8*0.0905</f>
        <v>362</v>
      </c>
      <c r="D15" s="31"/>
      <c r="E15" s="42"/>
    </row>
    <row r="16" spans="2:9" x14ac:dyDescent="0.3">
      <c r="B16" s="14" t="s">
        <v>56</v>
      </c>
      <c r="C16" s="28">
        <f>+C9*0.3905</f>
        <v>7810</v>
      </c>
      <c r="D16" s="31"/>
      <c r="E16" s="42"/>
    </row>
    <row r="17" spans="2:5" x14ac:dyDescent="0.3">
      <c r="B17" s="14" t="s">
        <v>37</v>
      </c>
      <c r="C17" s="23" t="s">
        <v>34</v>
      </c>
      <c r="D17" s="31"/>
      <c r="E17" s="42"/>
    </row>
    <row r="18" spans="2:5" x14ac:dyDescent="0.3">
      <c r="B18" s="70" t="s">
        <v>0</v>
      </c>
      <c r="C18" s="70"/>
      <c r="D18" s="32">
        <f>SUM(C13:C17)</f>
        <v>10786.5</v>
      </c>
      <c r="E18" s="40">
        <f>+D18/$C$3</f>
        <v>5.3932500000000001E-2</v>
      </c>
    </row>
    <row r="19" spans="2:5" x14ac:dyDescent="0.3">
      <c r="B19" s="19" t="s">
        <v>11</v>
      </c>
      <c r="C19" s="15"/>
      <c r="D19" s="33"/>
      <c r="E19" s="42"/>
    </row>
    <row r="20" spans="2:5" x14ac:dyDescent="0.3">
      <c r="B20" s="21" t="s">
        <v>36</v>
      </c>
      <c r="C20" s="5">
        <v>12000</v>
      </c>
      <c r="D20" s="30"/>
      <c r="E20" s="42"/>
    </row>
    <row r="21" spans="2:5" x14ac:dyDescent="0.3">
      <c r="B21" s="21" t="s">
        <v>50</v>
      </c>
      <c r="C21" s="5">
        <v>5000</v>
      </c>
      <c r="D21" s="30"/>
      <c r="E21" s="42"/>
    </row>
    <row r="22" spans="2:5" x14ac:dyDescent="0.3">
      <c r="B22" s="14" t="s">
        <v>37</v>
      </c>
      <c r="C22" s="23" t="s">
        <v>34</v>
      </c>
      <c r="D22" s="30"/>
      <c r="E22" s="42"/>
    </row>
    <row r="23" spans="2:5" x14ac:dyDescent="0.3">
      <c r="B23" s="70" t="s">
        <v>0</v>
      </c>
      <c r="C23" s="70"/>
      <c r="D23" s="34">
        <f>+SUM(C20:C21)</f>
        <v>17000</v>
      </c>
      <c r="E23" s="40">
        <f>+D23/$C$3</f>
        <v>8.5000000000000006E-2</v>
      </c>
    </row>
    <row r="24" spans="2:5" x14ac:dyDescent="0.3">
      <c r="B24" s="26" t="s">
        <v>48</v>
      </c>
      <c r="C24" s="25"/>
      <c r="D24" s="31" t="s">
        <v>14</v>
      </c>
      <c r="E24" s="42"/>
    </row>
    <row r="25" spans="2:5" x14ac:dyDescent="0.3">
      <c r="B25" s="16" t="s">
        <v>49</v>
      </c>
      <c r="C25" s="6">
        <f>+C20*0.014</f>
        <v>168</v>
      </c>
      <c r="D25" s="30"/>
      <c r="E25" s="42"/>
    </row>
    <row r="26" spans="2:5" x14ac:dyDescent="0.3">
      <c r="B26" s="14" t="s">
        <v>37</v>
      </c>
      <c r="C26" s="23" t="s">
        <v>34</v>
      </c>
      <c r="D26" s="30"/>
      <c r="E26" s="42"/>
    </row>
    <row r="27" spans="2:5" x14ac:dyDescent="0.3">
      <c r="B27" s="70" t="s">
        <v>0</v>
      </c>
      <c r="C27" s="70"/>
      <c r="D27" s="32">
        <f>+SUM(C25:C26)</f>
        <v>168</v>
      </c>
      <c r="E27" s="40">
        <f>+D27/$C$3</f>
        <v>8.4000000000000003E-4</v>
      </c>
    </row>
    <row r="28" spans="2:5" x14ac:dyDescent="0.3">
      <c r="B28" s="45" t="s">
        <v>35</v>
      </c>
      <c r="C28" s="46"/>
      <c r="D28" s="46"/>
      <c r="E28" s="47"/>
    </row>
    <row r="29" spans="2:5" x14ac:dyDescent="0.3">
      <c r="B29" s="14" t="s">
        <v>43</v>
      </c>
      <c r="C29" s="5">
        <v>4800</v>
      </c>
      <c r="D29" s="30"/>
      <c r="E29" s="42"/>
    </row>
    <row r="30" spans="2:5" x14ac:dyDescent="0.3">
      <c r="B30" s="14" t="s">
        <v>30</v>
      </c>
      <c r="C30" s="5">
        <v>7000</v>
      </c>
      <c r="D30" s="30"/>
      <c r="E30" s="42"/>
    </row>
    <row r="31" spans="2:5" x14ac:dyDescent="0.3">
      <c r="B31" s="14" t="s">
        <v>31</v>
      </c>
      <c r="C31" s="5">
        <v>6000</v>
      </c>
      <c r="D31" s="30"/>
      <c r="E31" s="42"/>
    </row>
    <row r="32" spans="2:5" x14ac:dyDescent="0.3">
      <c r="B32" s="14" t="s">
        <v>32</v>
      </c>
      <c r="C32" s="5">
        <v>10000</v>
      </c>
      <c r="D32" s="30"/>
      <c r="E32" s="42"/>
    </row>
    <row r="33" spans="2:5" x14ac:dyDescent="0.3">
      <c r="B33" s="14" t="s">
        <v>33</v>
      </c>
      <c r="C33" s="5">
        <v>12000</v>
      </c>
      <c r="D33" s="30"/>
      <c r="E33" s="42"/>
    </row>
    <row r="34" spans="2:5" x14ac:dyDescent="0.3">
      <c r="B34" s="14" t="s">
        <v>37</v>
      </c>
      <c r="C34" s="23" t="s">
        <v>34</v>
      </c>
      <c r="D34" s="30"/>
      <c r="E34" s="42"/>
    </row>
    <row r="35" spans="2:5" x14ac:dyDescent="0.3">
      <c r="B35" s="70" t="s">
        <v>0</v>
      </c>
      <c r="C35" s="70"/>
      <c r="D35" s="34">
        <f>+SUM(C29:C34)</f>
        <v>39800</v>
      </c>
      <c r="E35" s="40">
        <f>+D35/$C$3</f>
        <v>0.19900000000000001</v>
      </c>
    </row>
    <row r="36" spans="2:5" x14ac:dyDescent="0.3">
      <c r="B36" s="45" t="s">
        <v>12</v>
      </c>
      <c r="C36" s="46"/>
      <c r="D36" s="46"/>
      <c r="E36" s="47"/>
    </row>
    <row r="37" spans="2:5" x14ac:dyDescent="0.3">
      <c r="B37" s="14" t="s">
        <v>15</v>
      </c>
      <c r="C37" s="5">
        <v>2000</v>
      </c>
      <c r="D37" s="30"/>
      <c r="E37" s="42"/>
    </row>
    <row r="38" spans="2:5" s="2" customFormat="1" x14ac:dyDescent="0.3">
      <c r="B38" s="14" t="s">
        <v>7</v>
      </c>
      <c r="C38" s="5">
        <v>1000</v>
      </c>
      <c r="D38" s="30"/>
      <c r="E38" s="43"/>
    </row>
    <row r="39" spans="2:5" s="2" customFormat="1" x14ac:dyDescent="0.3">
      <c r="B39" s="14" t="s">
        <v>28</v>
      </c>
      <c r="C39" s="5">
        <v>200</v>
      </c>
      <c r="D39" s="30"/>
      <c r="E39" s="43"/>
    </row>
    <row r="40" spans="2:5" s="2" customFormat="1" x14ac:dyDescent="0.3">
      <c r="B40" s="14" t="s">
        <v>37</v>
      </c>
      <c r="C40" s="23" t="s">
        <v>34</v>
      </c>
      <c r="D40" s="30"/>
      <c r="E40" s="43"/>
    </row>
    <row r="41" spans="2:5" s="2" customFormat="1" x14ac:dyDescent="0.3">
      <c r="B41" s="69" t="s">
        <v>0</v>
      </c>
      <c r="C41" s="69"/>
      <c r="D41" s="34">
        <f>+SUM(C37:C40)</f>
        <v>3200</v>
      </c>
      <c r="E41" s="40">
        <f>+D41/$C$3</f>
        <v>1.6E-2</v>
      </c>
    </row>
    <row r="42" spans="2:5" x14ac:dyDescent="0.3">
      <c r="B42" s="45" t="s">
        <v>4</v>
      </c>
      <c r="C42" s="46"/>
      <c r="D42" s="46"/>
      <c r="E42" s="47"/>
    </row>
    <row r="43" spans="2:5" x14ac:dyDescent="0.3">
      <c r="B43" s="16" t="s">
        <v>5</v>
      </c>
      <c r="C43" s="5">
        <v>2000</v>
      </c>
      <c r="D43" s="35"/>
      <c r="E43" s="42"/>
    </row>
    <row r="44" spans="2:5" x14ac:dyDescent="0.3">
      <c r="B44" s="16" t="s">
        <v>6</v>
      </c>
      <c r="C44" s="5">
        <v>4000</v>
      </c>
      <c r="D44" s="35"/>
      <c r="E44" s="42"/>
    </row>
    <row r="45" spans="2:5" x14ac:dyDescent="0.3">
      <c r="B45" s="16" t="s">
        <v>39</v>
      </c>
      <c r="C45" s="23" t="s">
        <v>34</v>
      </c>
      <c r="D45" s="35"/>
      <c r="E45" s="42"/>
    </row>
    <row r="46" spans="2:5" x14ac:dyDescent="0.3">
      <c r="B46" s="69" t="s">
        <v>0</v>
      </c>
      <c r="C46" s="69"/>
      <c r="D46" s="34">
        <f>+SUM(C43:C45)</f>
        <v>6000</v>
      </c>
      <c r="E46" s="40">
        <f>+D46/$C$3</f>
        <v>0.03</v>
      </c>
    </row>
    <row r="47" spans="2:5" x14ac:dyDescent="0.3">
      <c r="B47" s="45" t="s">
        <v>8</v>
      </c>
      <c r="C47" s="46"/>
      <c r="D47" s="46"/>
      <c r="E47" s="47"/>
    </row>
    <row r="48" spans="2:5" x14ac:dyDescent="0.3">
      <c r="B48" s="14" t="s">
        <v>46</v>
      </c>
      <c r="C48" s="5">
        <v>3000</v>
      </c>
      <c r="D48" s="30"/>
      <c r="E48" s="42"/>
    </row>
    <row r="49" spans="2:5" x14ac:dyDescent="0.3">
      <c r="B49" s="17" t="s">
        <v>40</v>
      </c>
      <c r="C49" s="23" t="s">
        <v>34</v>
      </c>
      <c r="D49" s="30"/>
      <c r="E49" s="42"/>
    </row>
    <row r="50" spans="2:5" x14ac:dyDescent="0.3">
      <c r="B50" s="69" t="s">
        <v>0</v>
      </c>
      <c r="C50" s="69"/>
      <c r="D50" s="34">
        <f>+SUM(C48)</f>
        <v>3000</v>
      </c>
      <c r="E50" s="40">
        <f>+D50/$C$3</f>
        <v>1.4999999999999999E-2</v>
      </c>
    </row>
    <row r="51" spans="2:5" x14ac:dyDescent="0.3">
      <c r="B51" s="48" t="s">
        <v>44</v>
      </c>
      <c r="C51" s="49"/>
      <c r="D51" s="49"/>
      <c r="E51" s="50"/>
    </row>
    <row r="52" spans="2:5" x14ac:dyDescent="0.3">
      <c r="B52" s="17" t="s">
        <v>2</v>
      </c>
      <c r="C52" s="5">
        <v>7000</v>
      </c>
      <c r="D52" s="30"/>
      <c r="E52" s="42"/>
    </row>
    <row r="53" spans="2:5" x14ac:dyDescent="0.3">
      <c r="B53" s="17" t="s">
        <v>16</v>
      </c>
      <c r="C53" s="5">
        <v>6000</v>
      </c>
      <c r="D53" s="30"/>
      <c r="E53" s="42"/>
    </row>
    <row r="54" spans="2:5" x14ac:dyDescent="0.3">
      <c r="B54" s="17" t="s">
        <v>40</v>
      </c>
      <c r="C54" s="23" t="s">
        <v>34</v>
      </c>
      <c r="D54" s="30"/>
      <c r="E54" s="42"/>
    </row>
    <row r="55" spans="2:5" x14ac:dyDescent="0.3">
      <c r="B55" s="70" t="s">
        <v>0</v>
      </c>
      <c r="C55" s="70"/>
      <c r="D55" s="34">
        <f>SUM(C52:C54)</f>
        <v>13000</v>
      </c>
      <c r="E55" s="40">
        <f>+D55/$C$3</f>
        <v>6.5000000000000002E-2</v>
      </c>
    </row>
    <row r="56" spans="2:5" x14ac:dyDescent="0.3">
      <c r="B56" s="48" t="s">
        <v>17</v>
      </c>
      <c r="C56" s="49"/>
      <c r="D56" s="49"/>
      <c r="E56" s="50"/>
    </row>
    <row r="57" spans="2:5" x14ac:dyDescent="0.3">
      <c r="B57" s="17" t="s">
        <v>18</v>
      </c>
      <c r="C57" s="5">
        <v>5000</v>
      </c>
      <c r="D57" s="30"/>
      <c r="E57" s="42"/>
    </row>
    <row r="58" spans="2:5" x14ac:dyDescent="0.3">
      <c r="B58" s="17" t="s">
        <v>3</v>
      </c>
      <c r="C58" s="5">
        <v>2000</v>
      </c>
      <c r="D58" s="30"/>
      <c r="E58" s="42"/>
    </row>
    <row r="59" spans="2:5" x14ac:dyDescent="0.3">
      <c r="B59" s="17" t="s">
        <v>40</v>
      </c>
      <c r="C59" s="23" t="s">
        <v>34</v>
      </c>
      <c r="D59" s="30"/>
      <c r="E59" s="42"/>
    </row>
    <row r="60" spans="2:5" x14ac:dyDescent="0.3">
      <c r="B60" s="70" t="s">
        <v>0</v>
      </c>
      <c r="C60" s="70"/>
      <c r="D60" s="34">
        <f>+SUM(C57:C59)</f>
        <v>7000</v>
      </c>
      <c r="E60" s="40">
        <f>+D60/$C$3</f>
        <v>3.5000000000000003E-2</v>
      </c>
    </row>
    <row r="61" spans="2:5" x14ac:dyDescent="0.3">
      <c r="B61" s="48" t="s">
        <v>19</v>
      </c>
      <c r="C61" s="49"/>
      <c r="D61" s="49"/>
      <c r="E61" s="50"/>
    </row>
    <row r="62" spans="2:5" ht="30.75" customHeight="1" x14ac:dyDescent="0.3">
      <c r="B62" s="29" t="s">
        <v>57</v>
      </c>
      <c r="C62" s="5">
        <f>2.74*6*500</f>
        <v>8220</v>
      </c>
      <c r="D62" s="35"/>
      <c r="E62" s="42"/>
    </row>
    <row r="63" spans="2:5" x14ac:dyDescent="0.3">
      <c r="B63" s="8" t="s">
        <v>51</v>
      </c>
      <c r="C63" s="5">
        <f>300*12</f>
        <v>3600</v>
      </c>
      <c r="D63" s="35"/>
      <c r="E63" s="42"/>
    </row>
    <row r="64" spans="2:5" x14ac:dyDescent="0.3">
      <c r="B64" s="8" t="s">
        <v>45</v>
      </c>
      <c r="C64" s="5">
        <f>500*12</f>
        <v>6000</v>
      </c>
      <c r="D64" s="35"/>
      <c r="E64" s="42"/>
    </row>
    <row r="65" spans="2:6" x14ac:dyDescent="0.3">
      <c r="B65" s="17" t="s">
        <v>40</v>
      </c>
      <c r="C65" s="23" t="s">
        <v>34</v>
      </c>
      <c r="D65" s="35"/>
      <c r="E65" s="42"/>
    </row>
    <row r="66" spans="2:6" x14ac:dyDescent="0.3">
      <c r="B66" s="20"/>
      <c r="C66" s="9"/>
      <c r="D66" s="34">
        <f>+SUM(C62:C65)</f>
        <v>17820</v>
      </c>
      <c r="E66" s="40">
        <f>+D66/$C$3</f>
        <v>8.9099999999999999E-2</v>
      </c>
      <c r="F66" s="44">
        <f>+SUM(E11:E66)</f>
        <v>0.75387250000000006</v>
      </c>
    </row>
    <row r="67" spans="2:6" ht="7.2" customHeight="1" x14ac:dyDescent="0.3">
      <c r="B67" s="51"/>
      <c r="C67" s="52"/>
      <c r="D67" s="52"/>
      <c r="E67" s="53"/>
    </row>
    <row r="68" spans="2:6" x14ac:dyDescent="0.3">
      <c r="B68" s="68" t="s">
        <v>24</v>
      </c>
      <c r="C68" s="68"/>
      <c r="D68" s="37">
        <f>+SUM(D11:D66)</f>
        <v>150774.5</v>
      </c>
      <c r="E68" s="40">
        <f>+D68/$C$3</f>
        <v>0.75387249999999995</v>
      </c>
    </row>
    <row r="69" spans="2:6" x14ac:dyDescent="0.3">
      <c r="B69" s="54"/>
      <c r="C69" s="55"/>
      <c r="D69" s="55"/>
      <c r="E69" s="56"/>
    </row>
    <row r="70" spans="2:6" x14ac:dyDescent="0.3">
      <c r="B70" s="19" t="s">
        <v>41</v>
      </c>
      <c r="C70" s="15"/>
      <c r="D70" s="33"/>
      <c r="E70" s="42"/>
    </row>
    <row r="71" spans="2:6" x14ac:dyDescent="0.3">
      <c r="B71" s="24" t="s">
        <v>42</v>
      </c>
      <c r="C71" s="27">
        <f>0.05*C3</f>
        <v>10000</v>
      </c>
      <c r="D71" s="31"/>
      <c r="E71" s="42"/>
    </row>
    <row r="72" spans="2:6" x14ac:dyDescent="0.3">
      <c r="B72" s="69" t="s">
        <v>14</v>
      </c>
      <c r="C72" s="69"/>
      <c r="D72" s="38">
        <f>+C71</f>
        <v>10000</v>
      </c>
      <c r="E72" s="40">
        <f>+D72/$C$3</f>
        <v>0.05</v>
      </c>
    </row>
    <row r="73" spans="2:6" ht="4.5" customHeight="1" x14ac:dyDescent="0.3">
      <c r="B73" s="65"/>
      <c r="C73" s="66"/>
      <c r="D73" s="66"/>
      <c r="E73" s="67"/>
    </row>
    <row r="74" spans="2:6" x14ac:dyDescent="0.3">
      <c r="B74" s="76" t="s">
        <v>61</v>
      </c>
      <c r="C74" s="76"/>
      <c r="D74" s="39">
        <f>+D68+D72</f>
        <v>160774.5</v>
      </c>
      <c r="E74" s="40">
        <f>+D74/$C$3</f>
        <v>0.80387249999999999</v>
      </c>
    </row>
    <row r="75" spans="2:6" ht="3.75" customHeight="1" x14ac:dyDescent="0.3">
      <c r="B75" s="65"/>
      <c r="C75" s="66"/>
      <c r="D75" s="66"/>
      <c r="E75" s="67"/>
    </row>
    <row r="76" spans="2:6" ht="31.2" customHeight="1" x14ac:dyDescent="0.3">
      <c r="B76" s="78" t="s">
        <v>59</v>
      </c>
      <c r="C76" s="78"/>
      <c r="D76" s="36">
        <f>+C3-D74</f>
        <v>39225.5</v>
      </c>
      <c r="E76" s="40">
        <f>+D76/$C$3</f>
        <v>0.19612750000000001</v>
      </c>
    </row>
    <row r="77" spans="2:6" ht="3" customHeight="1" x14ac:dyDescent="0.3">
      <c r="B77" s="57"/>
      <c r="C77" s="58"/>
      <c r="D77" s="58"/>
      <c r="E77" s="59"/>
    </row>
    <row r="78" spans="2:6" x14ac:dyDescent="0.3">
      <c r="B78" s="77" t="s">
        <v>60</v>
      </c>
      <c r="C78" s="77"/>
      <c r="D78" s="34">
        <f>+SUM(D79:D82)</f>
        <v>39225.5</v>
      </c>
      <c r="E78" s="42" t="s">
        <v>14</v>
      </c>
    </row>
    <row r="79" spans="2:6" x14ac:dyDescent="0.3">
      <c r="B79" s="71" t="s">
        <v>22</v>
      </c>
      <c r="C79" s="71"/>
      <c r="D79" s="35">
        <f>0.1*D76</f>
        <v>3922.55</v>
      </c>
      <c r="E79" s="42"/>
    </row>
    <row r="80" spans="2:6" x14ac:dyDescent="0.3">
      <c r="B80" s="71" t="s">
        <v>23</v>
      </c>
      <c r="C80" s="71"/>
      <c r="D80" s="35">
        <f>+D76*0.05</f>
        <v>1961.2750000000001</v>
      </c>
      <c r="E80" s="42"/>
    </row>
    <row r="81" spans="2:6" x14ac:dyDescent="0.3">
      <c r="B81" s="71" t="s">
        <v>20</v>
      </c>
      <c r="C81" s="71"/>
      <c r="D81" s="35">
        <f>+D76*0.05</f>
        <v>1961.2750000000001</v>
      </c>
      <c r="E81" s="42"/>
    </row>
    <row r="82" spans="2:6" x14ac:dyDescent="0.3">
      <c r="B82" s="72" t="s">
        <v>21</v>
      </c>
      <c r="C82" s="72"/>
      <c r="D82" s="35">
        <f>+D76*0.8</f>
        <v>31380.400000000001</v>
      </c>
      <c r="E82" s="42" t="s">
        <v>14</v>
      </c>
      <c r="F82" s="1" t="s">
        <v>14</v>
      </c>
    </row>
    <row r="83" spans="2:6" ht="3" customHeight="1" x14ac:dyDescent="0.3">
      <c r="B83" s="60"/>
      <c r="C83" s="61"/>
      <c r="D83" s="61"/>
      <c r="E83" s="62"/>
    </row>
    <row r="84" spans="2:6" x14ac:dyDescent="0.3">
      <c r="B84" s="18" t="s">
        <v>25</v>
      </c>
      <c r="C84" s="12">
        <v>1</v>
      </c>
      <c r="D84" s="34">
        <f>+D82</f>
        <v>31380.400000000001</v>
      </c>
      <c r="E84" s="42"/>
    </row>
    <row r="85" spans="2:6" x14ac:dyDescent="0.3">
      <c r="B85" s="10" t="s">
        <v>26</v>
      </c>
      <c r="C85" s="11">
        <v>0.25</v>
      </c>
      <c r="D85" s="30">
        <f>+D82*0.25</f>
        <v>7845.1</v>
      </c>
      <c r="E85" s="42"/>
    </row>
    <row r="86" spans="2:6" x14ac:dyDescent="0.3">
      <c r="B86" s="10" t="s">
        <v>27</v>
      </c>
      <c r="C86" s="11">
        <v>0.25</v>
      </c>
      <c r="D86" s="30">
        <f>0.25*D82</f>
        <v>7845.1</v>
      </c>
      <c r="E86" s="42"/>
    </row>
    <row r="87" spans="2:6" x14ac:dyDescent="0.3">
      <c r="B87" s="10" t="s">
        <v>47</v>
      </c>
      <c r="C87" s="11">
        <v>0.5</v>
      </c>
      <c r="D87" s="30">
        <f>0.5*D82</f>
        <v>15690.2</v>
      </c>
      <c r="E87" s="42"/>
    </row>
    <row r="88" spans="2:6" x14ac:dyDescent="0.3">
      <c r="E88" s="40">
        <f>+SUM(E74:E77)</f>
        <v>1</v>
      </c>
    </row>
    <row r="89" spans="2:6" ht="58.8" customHeight="1" x14ac:dyDescent="0.3">
      <c r="B89" s="73" t="s">
        <v>64</v>
      </c>
      <c r="C89" s="74"/>
      <c r="D89" s="74"/>
      <c r="E89" s="75"/>
    </row>
  </sheetData>
  <mergeCells count="26">
    <mergeCell ref="B81:C81"/>
    <mergeCell ref="B82:C82"/>
    <mergeCell ref="B80:C80"/>
    <mergeCell ref="B27:C27"/>
    <mergeCell ref="B89:E89"/>
    <mergeCell ref="B74:C74"/>
    <mergeCell ref="B78:C78"/>
    <mergeCell ref="B79:C79"/>
    <mergeCell ref="B76:C76"/>
    <mergeCell ref="B46:C46"/>
    <mergeCell ref="B50:C50"/>
    <mergeCell ref="B72:C72"/>
    <mergeCell ref="B60:C60"/>
    <mergeCell ref="B55:C55"/>
    <mergeCell ref="B1:E2"/>
    <mergeCell ref="B73:E73"/>
    <mergeCell ref="B75:E75"/>
    <mergeCell ref="B68:C68"/>
    <mergeCell ref="B11:C11"/>
    <mergeCell ref="B18:C18"/>
    <mergeCell ref="B23:C23"/>
    <mergeCell ref="B35:C35"/>
    <mergeCell ref="B41:C41"/>
    <mergeCell ref="B5:D5"/>
    <mergeCell ref="C3:D3"/>
    <mergeCell ref="B4:D4"/>
  </mergeCells>
  <pageMargins left="0.7" right="0.7" top="0.75" bottom="0.75" header="0.3" footer="0.3"/>
  <pageSetup scale="80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Escenario Año 1</vt:lpstr>
      <vt:lpstr>'Escenario Año 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IPT</dc:creator>
  <cp:lastModifiedBy>Ismael Pagan Trinidad</cp:lastModifiedBy>
  <cp:lastPrinted>2016-09-07T20:00:18Z</cp:lastPrinted>
  <dcterms:created xsi:type="dcterms:W3CDTF">2015-05-29T12:35:18Z</dcterms:created>
  <dcterms:modified xsi:type="dcterms:W3CDTF">2025-02-21T20:35:52Z</dcterms:modified>
</cp:coreProperties>
</file>